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EstaPasta_de_trabalho"/>
  <bookViews>
    <workbookView xWindow="-15" yWindow="705" windowWidth="6000" windowHeight="5085"/>
  </bookViews>
  <sheets>
    <sheet name="PROJEÇÃO DRE" sheetId="16" r:id="rId1"/>
    <sheet name="CAPEX" sheetId="18" r:id="rId2"/>
    <sheet name="BPC_ULTRAPAR" sheetId="19" r:id="rId3"/>
    <sheet name="COMPOSIÇÃO DO CAPITAL" sheetId="20" r:id="rId4"/>
    <sheet name="RESULTADO DA AVALIAÇÃO" sheetId="21" r:id="rId5"/>
  </sheets>
  <calcPr calcId="145621"/>
</workbook>
</file>

<file path=xl/calcChain.xml><?xml version="1.0" encoding="utf-8"?>
<calcChain xmlns="http://schemas.openxmlformats.org/spreadsheetml/2006/main">
  <c r="N57" i="16" l="1"/>
  <c r="N59" i="16"/>
  <c r="I18" i="16"/>
  <c r="J55" i="16"/>
  <c r="K55" i="16"/>
  <c r="L55" i="16"/>
  <c r="M55" i="16"/>
  <c r="N55" i="16"/>
  <c r="E14" i="20"/>
  <c r="B14" i="20"/>
  <c r="D11" i="20"/>
  <c r="D14" i="20"/>
  <c r="B8" i="20"/>
  <c r="D6" i="20"/>
  <c r="D49" i="16"/>
  <c r="D50" i="16"/>
  <c r="C47" i="16"/>
  <c r="C43" i="16"/>
  <c r="C40" i="16"/>
  <c r="I49" i="16"/>
  <c r="E50" i="16"/>
  <c r="C50" i="16"/>
  <c r="F50" i="16"/>
  <c r="H48" i="16"/>
  <c r="I48" i="16"/>
  <c r="J48" i="16"/>
  <c r="K48" i="16"/>
  <c r="L48" i="16"/>
  <c r="M48" i="16"/>
  <c r="N48" i="16"/>
  <c r="D54" i="16"/>
  <c r="E54" i="16"/>
  <c r="F54" i="16"/>
  <c r="G54" i="16"/>
  <c r="H54" i="16"/>
  <c r="I54" i="16"/>
  <c r="J54" i="16"/>
  <c r="K54" i="16"/>
  <c r="L54" i="16"/>
  <c r="M54" i="16"/>
  <c r="N54" i="16"/>
  <c r="C54" i="16"/>
  <c r="D53" i="16"/>
  <c r="E53" i="16"/>
  <c r="F53" i="16"/>
  <c r="G53" i="16"/>
  <c r="H53" i="16"/>
  <c r="I53" i="16"/>
  <c r="J53" i="16"/>
  <c r="K53" i="16"/>
  <c r="L53" i="16"/>
  <c r="M53" i="16"/>
  <c r="N53" i="16"/>
  <c r="C53" i="16"/>
  <c r="D52" i="16"/>
  <c r="E52" i="16"/>
  <c r="F52" i="16"/>
  <c r="G52" i="16"/>
  <c r="H52" i="16"/>
  <c r="I52" i="16"/>
  <c r="J52" i="16"/>
  <c r="K52" i="16"/>
  <c r="L52" i="16"/>
  <c r="M52" i="16"/>
  <c r="N52" i="16"/>
  <c r="C52" i="16"/>
  <c r="D40" i="16"/>
  <c r="E40" i="16"/>
  <c r="F40" i="16"/>
  <c r="G40" i="16"/>
  <c r="H40" i="16"/>
  <c r="I40" i="16"/>
  <c r="M40" i="16"/>
  <c r="I34" i="16"/>
  <c r="K16" i="16"/>
  <c r="L16" i="16"/>
  <c r="M16" i="16"/>
  <c r="N16" i="16"/>
  <c r="J16" i="16"/>
  <c r="I16" i="16"/>
  <c r="I42" i="16"/>
  <c r="J42" i="16"/>
  <c r="K42" i="16"/>
  <c r="L42" i="16"/>
  <c r="M42" i="16"/>
  <c r="N42" i="16"/>
  <c r="E46" i="16"/>
  <c r="C46" i="16"/>
  <c r="D46" i="16"/>
  <c r="A47" i="16"/>
  <c r="G45" i="16"/>
  <c r="F45" i="16"/>
  <c r="E45" i="16"/>
  <c r="E43" i="16"/>
  <c r="E47" i="16"/>
  <c r="D45" i="16"/>
  <c r="D43" i="16"/>
  <c r="D47" i="16"/>
  <c r="C45" i="16"/>
  <c r="F46" i="16"/>
  <c r="G46" i="16"/>
  <c r="H46" i="16"/>
  <c r="D44" i="16"/>
  <c r="E44" i="16"/>
  <c r="F44" i="16"/>
  <c r="G44" i="16"/>
  <c r="H44" i="16"/>
  <c r="C44" i="16"/>
  <c r="I41" i="16"/>
  <c r="J41" i="16"/>
  <c r="N30" i="16"/>
  <c r="M30" i="16"/>
  <c r="L30" i="16"/>
  <c r="K30" i="16"/>
  <c r="J30" i="16"/>
  <c r="I30" i="16"/>
  <c r="N29" i="16"/>
  <c r="M29" i="16"/>
  <c r="K29" i="16"/>
  <c r="J29" i="16"/>
  <c r="I29" i="16"/>
  <c r="L29" i="16"/>
  <c r="L28" i="16"/>
  <c r="N24" i="16"/>
  <c r="M24" i="16"/>
  <c r="L24" i="16"/>
  <c r="K24" i="16"/>
  <c r="J24" i="16"/>
  <c r="I24" i="16"/>
  <c r="N22" i="16"/>
  <c r="M22" i="16"/>
  <c r="L22" i="16"/>
  <c r="K22" i="16"/>
  <c r="J22" i="16"/>
  <c r="I22" i="16"/>
  <c r="I20" i="16"/>
  <c r="I19" i="16"/>
  <c r="J19" i="16"/>
  <c r="K19" i="16"/>
  <c r="L19" i="16"/>
  <c r="M19" i="16"/>
  <c r="N19" i="16"/>
  <c r="I14" i="16"/>
  <c r="J14" i="16"/>
  <c r="K14" i="16"/>
  <c r="L14" i="16"/>
  <c r="M14" i="16"/>
  <c r="N14" i="16"/>
  <c r="I12" i="16"/>
  <c r="J12" i="16"/>
  <c r="K12" i="16"/>
  <c r="L12" i="16"/>
  <c r="M12" i="16"/>
  <c r="N12" i="16"/>
  <c r="N28" i="16"/>
  <c r="J20" i="16"/>
  <c r="K20" i="16"/>
  <c r="K18" i="16"/>
  <c r="K40" i="16"/>
  <c r="J28" i="16"/>
  <c r="I28" i="16"/>
  <c r="H43" i="16"/>
  <c r="H47" i="16"/>
  <c r="M28" i="16"/>
  <c r="K28" i="16"/>
  <c r="L20" i="16"/>
  <c r="K41" i="16"/>
  <c r="J45" i="16"/>
  <c r="I26" i="16"/>
  <c r="I45" i="16"/>
  <c r="F43" i="16"/>
  <c r="F47" i="16"/>
  <c r="G43" i="16"/>
  <c r="G47" i="16"/>
  <c r="G50" i="16"/>
  <c r="J18" i="16"/>
  <c r="J26" i="16"/>
  <c r="J34" i="16"/>
  <c r="M20" i="16"/>
  <c r="L18" i="16"/>
  <c r="L40" i="16"/>
  <c r="I44" i="16"/>
  <c r="K45" i="16"/>
  <c r="L41" i="16"/>
  <c r="N20" i="16"/>
  <c r="N18" i="16"/>
  <c r="N40" i="16"/>
  <c r="M18" i="16"/>
  <c r="L45" i="16"/>
  <c r="M41" i="16"/>
  <c r="N41" i="16"/>
  <c r="M45" i="16"/>
  <c r="N45" i="16"/>
  <c r="J40" i="16"/>
  <c r="I35" i="16"/>
  <c r="J44" i="16"/>
  <c r="I36" i="16"/>
  <c r="I46" i="16"/>
  <c r="I43" i="16"/>
  <c r="I47" i="16"/>
  <c r="J35" i="16"/>
  <c r="K26" i="16"/>
  <c r="K34" i="16"/>
  <c r="I38" i="16"/>
  <c r="J36" i="16"/>
  <c r="J38" i="16"/>
  <c r="K44" i="16"/>
  <c r="L26" i="16"/>
  <c r="L34" i="16"/>
  <c r="J46" i="16"/>
  <c r="J43" i="16"/>
  <c r="J47" i="16"/>
  <c r="K35" i="16"/>
  <c r="L44" i="16"/>
  <c r="M26" i="16"/>
  <c r="M34" i="16"/>
  <c r="N26" i="16"/>
  <c r="N34" i="16"/>
  <c r="K36" i="16"/>
  <c r="K38" i="16"/>
  <c r="N44" i="16"/>
  <c r="L35" i="16"/>
  <c r="M44" i="16"/>
  <c r="K46" i="16"/>
  <c r="K43" i="16"/>
  <c r="K47" i="16"/>
  <c r="M35" i="16"/>
  <c r="L36" i="16"/>
  <c r="L46" i="16"/>
  <c r="L43" i="16"/>
  <c r="L47" i="16"/>
  <c r="N35" i="16"/>
  <c r="L38" i="16"/>
  <c r="N36" i="16"/>
  <c r="N38" i="16"/>
  <c r="M36" i="16"/>
  <c r="M38" i="16"/>
  <c r="M46" i="16"/>
  <c r="M43" i="16"/>
  <c r="M47" i="16"/>
  <c r="N46" i="16"/>
  <c r="N43" i="16"/>
  <c r="N47" i="16"/>
  <c r="H50" i="16"/>
  <c r="I50" i="16"/>
  <c r="I55" i="16"/>
  <c r="J49" i="16"/>
  <c r="K49" i="16"/>
  <c r="J50" i="16"/>
  <c r="L49" i="16"/>
  <c r="K50" i="16"/>
  <c r="M49" i="16"/>
  <c r="L50" i="16"/>
  <c r="N49" i="16"/>
  <c r="M50" i="16"/>
  <c r="N50" i="16"/>
  <c r="N56" i="16"/>
</calcChain>
</file>

<file path=xl/sharedStrings.xml><?xml version="1.0" encoding="utf-8"?>
<sst xmlns="http://schemas.openxmlformats.org/spreadsheetml/2006/main" count="134" uniqueCount="112">
  <si>
    <t>EBITDA</t>
  </si>
  <si>
    <t>LUCRO BRUTO</t>
  </si>
  <si>
    <t>DESPESAS OPERACIONAIS</t>
  </si>
  <si>
    <t>DEMONSTRAÇÃO DE RESULTADO DO EXERCÍCIO</t>
  </si>
  <si>
    <t>Gerais e administrativas</t>
  </si>
  <si>
    <t>Vendas e comerciais</t>
  </si>
  <si>
    <t>CUSTO DOS PRODUTOS VENDIDOS</t>
  </si>
  <si>
    <t>RESULTADO FINANCEIRO</t>
  </si>
  <si>
    <t>Receita financeira</t>
  </si>
  <si>
    <t>Despesa financeira</t>
  </si>
  <si>
    <t>EQUIVALÊNCIA PATRIMONIAL</t>
  </si>
  <si>
    <t>Imposto de renda e contribuição social</t>
  </si>
  <si>
    <t>Incentivos fiscais</t>
  </si>
  <si>
    <t>LUCRO LÍQUIDO</t>
  </si>
  <si>
    <t>RESULTADO NA ALIENAÇÃO DE BENS</t>
  </si>
  <si>
    <t>RECEITA LÍQUIDA</t>
  </si>
  <si>
    <t>IFRS - em reais mil</t>
  </si>
  <si>
    <t>CONSOLIDADO ULTRAPAR PARTICIPAÇÕES S.A.</t>
  </si>
  <si>
    <t>OUTROS RESULTADOS OPERACIONAIS LÍQUIDOS</t>
  </si>
  <si>
    <t>LUCRO ANTES DO IR E DA CSLL</t>
  </si>
  <si>
    <t xml:space="preserve">TAXA DE DESCONTO: </t>
  </si>
  <si>
    <t>Onde:</t>
  </si>
  <si>
    <t>Ke = custo do capital próprio, retorno exigido pelo acionista;</t>
  </si>
  <si>
    <t>β = coeficiente beta, risco sistemático;</t>
  </si>
  <si>
    <t>Rf = retorno dos investimentos sem risco;</t>
  </si>
  <si>
    <t>Rm = retorno dos investimentos de mercado.</t>
  </si>
  <si>
    <t>EBIT</t>
  </si>
  <si>
    <t>2015 - P</t>
  </si>
  <si>
    <t>2016 - P</t>
  </si>
  <si>
    <t>2017 - P</t>
  </si>
  <si>
    <t>2018 - P</t>
  </si>
  <si>
    <t>2019 - P</t>
  </si>
  <si>
    <t>2020 - P</t>
  </si>
  <si>
    <t xml:space="preserve">FLUXO DE CAIXA OPERACIONAL </t>
  </si>
  <si>
    <t>LAJIR/ EBIT</t>
  </si>
  <si>
    <t>Imposto de renda e contribuição social sobre o lucro líquido</t>
  </si>
  <si>
    <t xml:space="preserve">(=) FLUXO DE CAIXA LIVRE </t>
  </si>
  <si>
    <t>(-) INVESTIMENTO EM ATIVOS CIRCULANTES LÍQUIDOS</t>
  </si>
  <si>
    <t>ULTRAPAR PARTICIPAÇÕES S.A</t>
  </si>
  <si>
    <t>IFRS - em reais milhares</t>
  </si>
  <si>
    <t>(-) INVESTIMENTO LÍQUIDO EM ATIVOS IMOBILIZADOS</t>
  </si>
  <si>
    <t>Depreciação</t>
  </si>
  <si>
    <t xml:space="preserve">Total da depreciação </t>
  </si>
  <si>
    <t>Total da amortização</t>
  </si>
  <si>
    <t>MARGEM BRUTA %</t>
  </si>
  <si>
    <t>MARGEM OPERACIONAL%</t>
  </si>
  <si>
    <t>MARGEM EBITDA %</t>
  </si>
  <si>
    <t xml:space="preserve">   Caixa (endividamento) líquido</t>
  </si>
  <si>
    <t xml:space="preserve">   Empréstimos</t>
  </si>
  <si>
    <t xml:space="preserve">   Caixa e aplicações financeiras</t>
  </si>
  <si>
    <t>TOTAL PASSIVO E P.L.</t>
  </si>
  <si>
    <t>TOTAL DO PATRIMÔNIO LÍQUIDO</t>
  </si>
  <si>
    <t xml:space="preserve">       Participação dos não controladores</t>
  </si>
  <si>
    <t xml:space="preserve">   Outros</t>
  </si>
  <si>
    <t xml:space="preserve">   Ações em tesouraria</t>
  </si>
  <si>
    <t xml:space="preserve">   Reservas</t>
  </si>
  <si>
    <t xml:space="preserve">   Capital social</t>
  </si>
  <si>
    <t>PATRIMÔNIO LÍQUIDO</t>
  </si>
  <si>
    <t>TOTAL PASSIVO</t>
  </si>
  <si>
    <t xml:space="preserve">       Total Passivo Não Circulante</t>
  </si>
  <si>
    <t xml:space="preserve">   Benefícios pós-emprego</t>
  </si>
  <si>
    <t xml:space="preserve">   Provisões para contingências</t>
  </si>
  <si>
    <t xml:space="preserve">   Empréstimos e debêntures</t>
  </si>
  <si>
    <t xml:space="preserve">       Total Passivo Circulante</t>
  </si>
  <si>
    <t xml:space="preserve">   Impostos</t>
  </si>
  <si>
    <t xml:space="preserve">   Salários e encargos</t>
  </si>
  <si>
    <t xml:space="preserve">   Fornecedores</t>
  </si>
  <si>
    <t>PASSIVO</t>
  </si>
  <si>
    <t>TOTAL ATIVO</t>
  </si>
  <si>
    <t xml:space="preserve">       Total Ativo Não Circulante</t>
  </si>
  <si>
    <t xml:space="preserve">   Imobilizado e Intangível</t>
  </si>
  <si>
    <t xml:space="preserve">   Investimentos</t>
  </si>
  <si>
    <t xml:space="preserve">   Depósitos judiciais</t>
  </si>
  <si>
    <t xml:space="preserve">   Imposto de renda diferido</t>
  </si>
  <si>
    <t xml:space="preserve">   Contas a receber de clientes</t>
  </si>
  <si>
    <t xml:space="preserve">   Aplicações financeiras</t>
  </si>
  <si>
    <t xml:space="preserve">       Total Ativo Circulante</t>
  </si>
  <si>
    <t xml:space="preserve">   Estoques</t>
  </si>
  <si>
    <t>ATIVO</t>
  </si>
  <si>
    <t>BALANÇO PATRIMONIAL</t>
  </si>
  <si>
    <t>Ke = Rf + β x (Rm – Rf) = 15,17%</t>
  </si>
  <si>
    <t>8,81% ou 11,21%</t>
  </si>
  <si>
    <t>FLUXO DE CAIXA LIVRE A VP</t>
  </si>
  <si>
    <t>VALOR DA PERPETUIDADE</t>
  </si>
  <si>
    <t>VALOR DA EMPRESA ULTRAPAR</t>
  </si>
  <si>
    <t>TOTAL DO FLUXO DE CAIXA LIVRE</t>
  </si>
  <si>
    <t>TOTAL DO PASSIVO FINANCEIRO A VALOR JUSTO</t>
  </si>
  <si>
    <t>2015-P</t>
  </si>
  <si>
    <t>2016-P</t>
  </si>
  <si>
    <t>2017-P</t>
  </si>
  <si>
    <t>2018-P</t>
  </si>
  <si>
    <t>2019-P</t>
  </si>
  <si>
    <t>2020-P</t>
  </si>
  <si>
    <t xml:space="preserve">INVESTIMENTOS ORGÂNICOS </t>
  </si>
  <si>
    <t>Consolidado Ultrapar - CAPEX</t>
  </si>
  <si>
    <t>PROJEÇÃO DO CONSOLIDADO</t>
  </si>
  <si>
    <t xml:space="preserve">DADOS DA EMPRESA / COMPOSIÇÃO DO CAPITAL </t>
  </si>
  <si>
    <t>Números de ações (unidades)</t>
  </si>
  <si>
    <t>Último exercício social findo em 31/12/2014</t>
  </si>
  <si>
    <t>Valor pelo preço da ação</t>
  </si>
  <si>
    <t>Do capital integralizado</t>
  </si>
  <si>
    <t>Ordinárias</t>
  </si>
  <si>
    <t>Preferencias</t>
  </si>
  <si>
    <t>Total</t>
  </si>
  <si>
    <t>Em tesouraria</t>
  </si>
  <si>
    <t>Preferenciais</t>
  </si>
  <si>
    <t>(-) PASSIVO FINANCEIRO A VALOR JUSTO</t>
  </si>
  <si>
    <t/>
  </si>
  <si>
    <t>Última cotação na BOVESPA em 31/12/2014</t>
  </si>
  <si>
    <t>Valor pelo Método do FCDL</t>
  </si>
  <si>
    <t>VALORES EM MILHARES DE REAIS</t>
  </si>
  <si>
    <t>VALOR DA EMPRESA PELO MFCD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</si>
</sst>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  <numFmt numFmtId="167" formatCode="0.0%"/>
    <numFmt numFmtId="168" formatCode="0.0"/>
    <numFmt numFmtId="169" formatCode="#,##0.000"/>
  </numFmts>
  <fonts count="18" x14ac:knownFonts="1">
    <font>
      <sz val="10"/>
      <name val="Arial"/>
    </font>
    <font>
      <sz val="10"/>
      <name val="Arial"/>
    </font>
    <font>
      <b/>
      <sz val="10"/>
      <color indexed="9"/>
      <name val="Tahoma"/>
      <family val="2"/>
    </font>
    <font>
      <sz val="10"/>
      <color indexed="8"/>
      <name val="Tahoma"/>
      <family val="2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Century Schoolbook"/>
      <family val="1"/>
    </font>
    <font>
      <b/>
      <sz val="10"/>
      <color indexed="8"/>
      <name val="Arial"/>
      <family val="2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0" fontId="8" fillId="0" borderId="0"/>
    <xf numFmtId="0" fontId="7" fillId="0" borderId="0"/>
    <xf numFmtId="0" fontId="17" fillId="0" borderId="0"/>
    <xf numFmtId="0" fontId="7" fillId="0" borderId="0"/>
    <xf numFmtId="0" fontId="11" fillId="0" borderId="0"/>
    <xf numFmtId="0" fontId="7" fillId="0" borderId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134">
    <xf numFmtId="0" fontId="0" fillId="0" borderId="0" xfId="0"/>
    <xf numFmtId="165" fontId="4" fillId="0" borderId="0" xfId="17" applyFont="1"/>
    <xf numFmtId="165" fontId="3" fillId="0" borderId="0" xfId="17" applyFont="1"/>
    <xf numFmtId="165" fontId="3" fillId="0" borderId="0" xfId="17" applyFont="1" applyBorder="1"/>
    <xf numFmtId="165" fontId="2" fillId="2" borderId="0" xfId="17" applyFont="1" applyFill="1" applyBorder="1" applyAlignment="1">
      <alignment vertical="center"/>
    </xf>
    <xf numFmtId="165" fontId="4" fillId="0" borderId="0" xfId="17" applyFont="1" applyFill="1" applyBorder="1" applyAlignment="1">
      <alignment horizontal="center"/>
    </xf>
    <xf numFmtId="165" fontId="3" fillId="0" borderId="0" xfId="17" applyFont="1" applyFill="1"/>
    <xf numFmtId="165" fontId="3" fillId="0" borderId="0" xfId="17" applyFont="1" applyFill="1" applyBorder="1"/>
    <xf numFmtId="165" fontId="3" fillId="3" borderId="0" xfId="17" applyFont="1" applyFill="1"/>
    <xf numFmtId="165" fontId="4" fillId="0" borderId="0" xfId="17" applyFont="1" applyFill="1"/>
    <xf numFmtId="10" fontId="3" fillId="0" borderId="0" xfId="7" applyNumberFormat="1" applyFont="1" applyFill="1"/>
    <xf numFmtId="10" fontId="0" fillId="0" borderId="0" xfId="0" applyNumberFormat="1"/>
    <xf numFmtId="2" fontId="0" fillId="0" borderId="0" xfId="0" applyNumberFormat="1"/>
    <xf numFmtId="0" fontId="2" fillId="2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5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7" fillId="0" borderId="0" xfId="4" applyBorder="1"/>
    <xf numFmtId="10" fontId="3" fillId="0" borderId="0" xfId="7" applyNumberFormat="1" applyFont="1" applyFill="1" applyBorder="1"/>
    <xf numFmtId="0" fontId="0" fillId="0" borderId="0" xfId="0" applyBorder="1"/>
    <xf numFmtId="0" fontId="7" fillId="0" borderId="0" xfId="4"/>
    <xf numFmtId="166" fontId="3" fillId="0" borderId="0" xfId="17" applyNumberFormat="1" applyFont="1"/>
    <xf numFmtId="166" fontId="3" fillId="0" borderId="0" xfId="17" applyNumberFormat="1" applyFont="1" applyBorder="1"/>
    <xf numFmtId="167" fontId="5" fillId="0" borderId="0" xfId="7" applyNumberFormat="1" applyFont="1" applyFill="1" applyBorder="1"/>
    <xf numFmtId="166" fontId="5" fillId="0" borderId="0" xfId="17" applyNumberFormat="1" applyFont="1" applyFill="1" applyBorder="1"/>
    <xf numFmtId="166" fontId="4" fillId="0" borderId="0" xfId="17" applyNumberFormat="1" applyFont="1" applyFill="1" applyBorder="1"/>
    <xf numFmtId="166" fontId="3" fillId="0" borderId="0" xfId="17" applyNumberFormat="1" applyFont="1" applyFill="1" applyBorder="1"/>
    <xf numFmtId="167" fontId="5" fillId="0" borderId="0" xfId="11" applyNumberFormat="1" applyFont="1" applyFill="1" applyBorder="1"/>
    <xf numFmtId="0" fontId="3" fillId="0" borderId="0" xfId="0" applyFont="1"/>
    <xf numFmtId="0" fontId="4" fillId="0" borderId="0" xfId="0" applyFont="1"/>
    <xf numFmtId="169" fontId="3" fillId="3" borderId="0" xfId="0" applyNumberFormat="1" applyFont="1" applyFill="1"/>
    <xf numFmtId="3" fontId="3" fillId="3" borderId="0" xfId="0" applyNumberFormat="1" applyFont="1" applyFill="1"/>
    <xf numFmtId="164" fontId="3" fillId="0" borderId="0" xfId="17" applyNumberFormat="1" applyFont="1" applyBorder="1"/>
    <xf numFmtId="3" fontId="3" fillId="0" borderId="0" xfId="0" applyNumberFormat="1" applyFont="1" applyBorder="1"/>
    <xf numFmtId="3" fontId="4" fillId="0" borderId="0" xfId="0" applyNumberFormat="1" applyFont="1" applyBorder="1"/>
    <xf numFmtId="3" fontId="3" fillId="0" borderId="0" xfId="0" applyNumberFormat="1" applyFont="1" applyFill="1" applyBorder="1"/>
    <xf numFmtId="0" fontId="3" fillId="3" borderId="0" xfId="0" applyFont="1" applyFill="1"/>
    <xf numFmtId="167" fontId="5" fillId="0" borderId="0" xfId="7" applyNumberFormat="1" applyFont="1" applyFill="1" applyBorder="1" applyAlignment="1"/>
    <xf numFmtId="3" fontId="6" fillId="0" borderId="0" xfId="7" applyNumberFormat="1" applyFont="1" applyFill="1" applyBorder="1"/>
    <xf numFmtId="3" fontId="5" fillId="0" borderId="0" xfId="17" applyNumberFormat="1" applyFont="1" applyFill="1" applyBorder="1"/>
    <xf numFmtId="166" fontId="5" fillId="0" borderId="0" xfId="17" applyNumberFormat="1" applyFont="1" applyFill="1" applyBorder="1" applyAlignment="1"/>
    <xf numFmtId="166" fontId="4" fillId="0" borderId="0" xfId="17" applyNumberFormat="1" applyFont="1" applyBorder="1" applyAlignment="1"/>
    <xf numFmtId="0" fontId="4" fillId="0" borderId="0" xfId="0" applyFont="1" applyFill="1"/>
    <xf numFmtId="3" fontId="4" fillId="0" borderId="0" xfId="0" applyNumberFormat="1" applyFont="1" applyFill="1" applyBorder="1"/>
    <xf numFmtId="3" fontId="6" fillId="3" borderId="0" xfId="0" applyNumberFormat="1" applyFont="1" applyFill="1" applyBorder="1"/>
    <xf numFmtId="0" fontId="3" fillId="0" borderId="0" xfId="0" applyFont="1" applyBorder="1"/>
    <xf numFmtId="0" fontId="4" fillId="0" borderId="0" xfId="0" applyFont="1" applyBorder="1"/>
    <xf numFmtId="0" fontId="4" fillId="3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Continuous"/>
    </xf>
    <xf numFmtId="0" fontId="4" fillId="0" borderId="0" xfId="0" applyFont="1" applyFill="1" applyBorder="1" applyAlignment="1">
      <alignment horizontal="centerContinuous"/>
    </xf>
    <xf numFmtId="166" fontId="4" fillId="0" borderId="0" xfId="17" applyNumberFormat="1" applyFont="1" applyBorder="1"/>
    <xf numFmtId="0" fontId="6" fillId="0" borderId="0" xfId="0" applyFont="1" applyAlignment="1">
      <alignment horizontal="center"/>
    </xf>
    <xf numFmtId="166" fontId="6" fillId="0" borderId="0" xfId="15" applyNumberFormat="1" applyFont="1" applyAlignment="1">
      <alignment horizontal="center"/>
    </xf>
    <xf numFmtId="165" fontId="4" fillId="0" borderId="1" xfId="17" applyFont="1" applyFill="1" applyBorder="1"/>
    <xf numFmtId="0" fontId="4" fillId="4" borderId="0" xfId="0" applyFont="1" applyFill="1" applyBorder="1" applyAlignment="1">
      <alignment horizontal="centerContinuous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 applyBorder="1" applyAlignment="1"/>
    <xf numFmtId="0" fontId="3" fillId="3" borderId="0" xfId="0" applyFont="1" applyFill="1" applyBorder="1" applyAlignment="1"/>
    <xf numFmtId="0" fontId="3" fillId="3" borderId="0" xfId="0" applyFont="1" applyFill="1" applyBorder="1"/>
    <xf numFmtId="166" fontId="3" fillId="3" borderId="0" xfId="17" applyNumberFormat="1" applyFont="1" applyFill="1" applyBorder="1"/>
    <xf numFmtId="0" fontId="12" fillId="3" borderId="0" xfId="5" applyFont="1" applyFill="1" applyBorder="1"/>
    <xf numFmtId="0" fontId="6" fillId="3" borderId="0" xfId="0" applyFont="1" applyFill="1" applyBorder="1" applyAlignment="1"/>
    <xf numFmtId="0" fontId="6" fillId="3" borderId="0" xfId="0" applyFont="1" applyFill="1" applyBorder="1"/>
    <xf numFmtId="0" fontId="10" fillId="3" borderId="0" xfId="5" applyFont="1" applyFill="1" applyBorder="1"/>
    <xf numFmtId="0" fontId="4" fillId="0" borderId="0" xfId="0" applyFont="1" applyFill="1" applyBorder="1" applyAlignment="1"/>
    <xf numFmtId="0" fontId="3" fillId="0" borderId="0" xfId="0" applyFont="1" applyFill="1" applyBorder="1" applyAlignment="1"/>
    <xf numFmtId="3" fontId="5" fillId="3" borderId="0" xfId="0" applyNumberFormat="1" applyFont="1" applyFill="1" applyBorder="1"/>
    <xf numFmtId="0" fontId="7" fillId="0" borderId="0" xfId="0" applyFont="1" applyBorder="1"/>
    <xf numFmtId="166" fontId="6" fillId="0" borderId="0" xfId="17" applyNumberFormat="1" applyFont="1" applyFill="1" applyBorder="1"/>
    <xf numFmtId="0" fontId="4" fillId="0" borderId="0" xfId="0" applyFont="1" applyFill="1" applyBorder="1"/>
    <xf numFmtId="0" fontId="10" fillId="0" borderId="0" xfId="5" applyFont="1" applyFill="1" applyBorder="1"/>
    <xf numFmtId="0" fontId="3" fillId="0" borderId="0" xfId="0" applyFont="1" applyBorder="1" applyAlignment="1"/>
    <xf numFmtId="0" fontId="0" fillId="0" borderId="0" xfId="0" applyFill="1" applyBorder="1" applyAlignment="1">
      <alignment wrapText="1"/>
    </xf>
    <xf numFmtId="166" fontId="3" fillId="0" borderId="0" xfId="0" applyNumberFormat="1" applyFont="1" applyFill="1" applyBorder="1"/>
    <xf numFmtId="0" fontId="4" fillId="0" borderId="0" xfId="0" applyFont="1" applyBorder="1" applyAlignment="1"/>
    <xf numFmtId="164" fontId="3" fillId="0" borderId="0" xfId="0" applyNumberFormat="1" applyFont="1" applyBorder="1"/>
    <xf numFmtId="165" fontId="3" fillId="0" borderId="0" xfId="17" applyFont="1" applyFill="1" applyBorder="1" applyAlignment="1">
      <alignment horizontal="centerContinuous"/>
    </xf>
    <xf numFmtId="165" fontId="4" fillId="4" borderId="0" xfId="17" applyFont="1" applyFill="1" applyBorder="1" applyAlignment="1">
      <alignment horizontal="centerContinuous"/>
    </xf>
    <xf numFmtId="165" fontId="4" fillId="3" borderId="0" xfId="17" applyFont="1" applyFill="1" applyBorder="1" applyAlignment="1">
      <alignment horizontal="center"/>
    </xf>
    <xf numFmtId="165" fontId="4" fillId="4" borderId="0" xfId="17" applyFont="1" applyFill="1" applyBorder="1" applyAlignment="1">
      <alignment horizontal="center"/>
    </xf>
    <xf numFmtId="0" fontId="4" fillId="4" borderId="0" xfId="17" applyNumberFormat="1" applyFont="1" applyFill="1" applyBorder="1" applyAlignment="1">
      <alignment horizontal="center"/>
    </xf>
    <xf numFmtId="165" fontId="4" fillId="0" borderId="0" xfId="17" applyFont="1" applyBorder="1"/>
    <xf numFmtId="165" fontId="4" fillId="3" borderId="0" xfId="17" applyFont="1" applyFill="1" applyBorder="1"/>
    <xf numFmtId="165" fontId="3" fillId="3" borderId="0" xfId="17" applyFont="1" applyFill="1" applyBorder="1"/>
    <xf numFmtId="165" fontId="5" fillId="3" borderId="0" xfId="17" applyFont="1" applyFill="1" applyBorder="1"/>
    <xf numFmtId="165" fontId="6" fillId="3" borderId="0" xfId="17" applyFont="1" applyFill="1" applyBorder="1"/>
    <xf numFmtId="166" fontId="5" fillId="0" borderId="0" xfId="13" applyNumberFormat="1" applyFont="1" applyFill="1" applyBorder="1"/>
    <xf numFmtId="166" fontId="3" fillId="0" borderId="0" xfId="13" applyNumberFormat="1" applyFont="1" applyFill="1" applyBorder="1"/>
    <xf numFmtId="165" fontId="4" fillId="0" borderId="0" xfId="17" applyFont="1" applyFill="1" applyBorder="1"/>
    <xf numFmtId="166" fontId="6" fillId="0" borderId="0" xfId="13" applyNumberFormat="1" applyFont="1" applyFill="1" applyBorder="1"/>
    <xf numFmtId="166" fontId="4" fillId="0" borderId="0" xfId="13" applyNumberFormat="1" applyFont="1" applyFill="1" applyBorder="1"/>
    <xf numFmtId="166" fontId="6" fillId="0" borderId="0" xfId="15" applyNumberFormat="1" applyFont="1" applyFill="1" applyBorder="1"/>
    <xf numFmtId="166" fontId="5" fillId="0" borderId="0" xfId="15" applyNumberFormat="1" applyFont="1" applyFill="1" applyBorder="1"/>
    <xf numFmtId="165" fontId="5" fillId="0" borderId="0" xfId="17" applyFont="1" applyFill="1" applyBorder="1"/>
    <xf numFmtId="10" fontId="5" fillId="0" borderId="0" xfId="7" applyNumberFormat="1" applyFont="1" applyFill="1" applyBorder="1"/>
    <xf numFmtId="10" fontId="4" fillId="0" borderId="0" xfId="7" applyNumberFormat="1" applyFont="1" applyFill="1" applyBorder="1"/>
    <xf numFmtId="0" fontId="5" fillId="4" borderId="0" xfId="0" applyFont="1" applyFill="1" applyBorder="1" applyAlignment="1">
      <alignment horizontal="center"/>
    </xf>
    <xf numFmtId="0" fontId="5" fillId="0" borderId="0" xfId="0" applyFont="1" applyFill="1" applyBorder="1"/>
    <xf numFmtId="166" fontId="5" fillId="0" borderId="0" xfId="15" applyNumberFormat="1" applyFont="1" applyFill="1" applyBorder="1" applyAlignment="1">
      <alignment horizontal="center"/>
    </xf>
    <xf numFmtId="166" fontId="5" fillId="0" borderId="0" xfId="17" applyNumberFormat="1" applyFont="1" applyFill="1" applyBorder="1" applyAlignment="1">
      <alignment horizontal="center"/>
    </xf>
    <xf numFmtId="168" fontId="6" fillId="0" borderId="0" xfId="0" applyNumberFormat="1" applyFont="1" applyFill="1" applyBorder="1" applyAlignment="1">
      <alignment horizontal="center"/>
    </xf>
    <xf numFmtId="0" fontId="5" fillId="4" borderId="0" xfId="6" applyFont="1" applyFill="1" applyBorder="1" applyAlignment="1"/>
    <xf numFmtId="0" fontId="5" fillId="5" borderId="0" xfId="0" applyFont="1" applyFill="1" applyAlignment="1">
      <alignment horizontal="left" vertical="center"/>
    </xf>
    <xf numFmtId="166" fontId="5" fillId="5" borderId="0" xfId="17" applyNumberFormat="1" applyFont="1" applyFill="1" applyAlignment="1">
      <alignment horizont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left"/>
    </xf>
    <xf numFmtId="166" fontId="5" fillId="5" borderId="0" xfId="17" applyNumberFormat="1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5" fillId="5" borderId="0" xfId="0" applyFont="1" applyFill="1"/>
    <xf numFmtId="166" fontId="5" fillId="5" borderId="0" xfId="0" applyNumberFormat="1" applyFont="1" applyFill="1"/>
    <xf numFmtId="166" fontId="5" fillId="5" borderId="0" xfId="17" applyNumberFormat="1" applyFont="1" applyFill="1"/>
    <xf numFmtId="0" fontId="0" fillId="0" borderId="0" xfId="0" applyAlignment="1">
      <alignment horizontal="center"/>
    </xf>
    <xf numFmtId="0" fontId="7" fillId="0" borderId="0" xfId="0" quotePrefix="1" applyFont="1"/>
    <xf numFmtId="0" fontId="13" fillId="6" borderId="0" xfId="0" applyFont="1" applyFill="1" applyBorder="1"/>
    <xf numFmtId="0" fontId="13" fillId="6" borderId="0" xfId="0" applyFont="1" applyFill="1" applyBorder="1" applyAlignment="1">
      <alignment horizontal="center"/>
    </xf>
    <xf numFmtId="165" fontId="14" fillId="6" borderId="0" xfId="17" applyFont="1" applyFill="1" applyBorder="1" applyAlignment="1">
      <alignment horizontal="left"/>
    </xf>
    <xf numFmtId="165" fontId="14" fillId="6" borderId="0" xfId="17" applyFont="1" applyFill="1" applyBorder="1"/>
    <xf numFmtId="166" fontId="14" fillId="6" borderId="0" xfId="17" applyNumberFormat="1" applyFont="1" applyFill="1" applyBorder="1"/>
    <xf numFmtId="0" fontId="15" fillId="6" borderId="0" xfId="0" applyFont="1" applyFill="1" applyBorder="1"/>
    <xf numFmtId="0" fontId="15" fillId="6" borderId="0" xfId="0" applyFont="1" applyFill="1" applyBorder="1" applyAlignment="1">
      <alignment horizontal="center"/>
    </xf>
    <xf numFmtId="166" fontId="14" fillId="6" borderId="0" xfId="17" applyNumberFormat="1" applyFont="1" applyFill="1" applyBorder="1" applyAlignment="1">
      <alignment horizontal="center"/>
    </xf>
    <xf numFmtId="166" fontId="14" fillId="6" borderId="0" xfId="15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0" fontId="5" fillId="5" borderId="0" xfId="0" applyFont="1" applyFill="1" applyAlignment="1">
      <alignment horizontal="center" vertical="center"/>
    </xf>
    <xf numFmtId="0" fontId="16" fillId="0" borderId="0" xfId="0" applyFont="1" applyAlignment="1">
      <alignment horizontal="center"/>
    </xf>
  </cellXfs>
  <cellStyles count="18">
    <cellStyle name="Normal" xfId="0" builtinId="0"/>
    <cellStyle name="Normal 2" xfId="1"/>
    <cellStyle name="Normal 2 2" xfId="2"/>
    <cellStyle name="Normal 3" xfId="3"/>
    <cellStyle name="Normal 4" xfId="4"/>
    <cellStyle name="Normal_OXSA (OT)" xfId="5"/>
    <cellStyle name="Normal_UPAR" xfId="6"/>
    <cellStyle name="Porcentagem 2" xfId="7"/>
    <cellStyle name="Porcentagem 3" xfId="8"/>
    <cellStyle name="Porcentagem 3 2" xfId="9"/>
    <cellStyle name="Porcentagem 4" xfId="10"/>
    <cellStyle name="Porcentagem 4 2" xfId="11"/>
    <cellStyle name="Separador de milhares 2" xfId="12"/>
    <cellStyle name="Separador de milhares 3" xfId="13"/>
    <cellStyle name="Separador de milhares 3 2" xfId="14"/>
    <cellStyle name="Vírgula" xfId="15" builtinId="3"/>
    <cellStyle name="Vírgula 2" xfId="16"/>
    <cellStyle name="Vírgula 2 2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68</xdr:row>
      <xdr:rowOff>0</xdr:rowOff>
    </xdr:from>
    <xdr:to>
      <xdr:col>1</xdr:col>
      <xdr:colOff>342900</xdr:colOff>
      <xdr:row>70</xdr:row>
      <xdr:rowOff>19050</xdr:rowOff>
    </xdr:to>
    <xdr:pic>
      <xdr:nvPicPr>
        <xdr:cNvPr id="1109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1010900"/>
          <a:ext cx="33623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9"/>
  <sheetViews>
    <sheetView showGridLines="0" tabSelected="1" workbookViewId="0">
      <pane xSplit="2" ySplit="10" topLeftCell="G22" activePane="bottomRight" state="frozen"/>
      <selection pane="topRight" activeCell="C1" sqref="C1"/>
      <selection pane="bottomLeft" activeCell="A11" sqref="A11"/>
      <selection pane="bottomRight" activeCell="A32" sqref="A32"/>
    </sheetView>
  </sheetViews>
  <sheetFormatPr defaultRowHeight="12.75" x14ac:dyDescent="0.2"/>
  <cols>
    <col min="1" max="1" width="45.28515625" customWidth="1"/>
    <col min="2" max="2" width="5.5703125" customWidth="1"/>
    <col min="3" max="12" width="15.7109375" customWidth="1"/>
    <col min="13" max="13" width="14.7109375" customWidth="1"/>
    <col min="14" max="14" width="20.5703125" customWidth="1"/>
  </cols>
  <sheetData>
    <row r="1" spans="1:15" x14ac:dyDescent="0.2">
      <c r="A1" s="4" t="s">
        <v>95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2"/>
    </row>
    <row r="2" spans="1:15" x14ac:dyDescent="0.2">
      <c r="A2" s="4" t="s">
        <v>17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/>
    </row>
    <row r="3" spans="1:15" x14ac:dyDescent="0.2">
      <c r="A3" s="5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2"/>
    </row>
    <row r="4" spans="1:15" x14ac:dyDescent="0.2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2"/>
    </row>
    <row r="5" spans="1:15" x14ac:dyDescent="0.2">
      <c r="A5" s="5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"/>
    </row>
    <row r="6" spans="1:15" x14ac:dyDescent="0.2">
      <c r="A6" s="4" t="s">
        <v>16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2"/>
    </row>
    <row r="7" spans="1:15" x14ac:dyDescent="0.2">
      <c r="A7" s="82"/>
      <c r="B7" s="82"/>
      <c r="C7" s="82"/>
      <c r="D7" s="82"/>
      <c r="E7" s="82"/>
      <c r="F7" s="7"/>
      <c r="G7" s="7"/>
      <c r="H7" s="7"/>
      <c r="I7" s="7"/>
      <c r="J7" s="7"/>
      <c r="K7" s="7"/>
      <c r="L7" s="7"/>
      <c r="M7" s="7"/>
      <c r="N7" s="7"/>
      <c r="O7" s="2"/>
    </row>
    <row r="8" spans="1:15" x14ac:dyDescent="0.2">
      <c r="A8" s="83"/>
      <c r="B8" s="84"/>
      <c r="C8" s="130"/>
      <c r="D8" s="130"/>
      <c r="E8" s="61"/>
      <c r="F8" s="60"/>
      <c r="G8" s="60"/>
      <c r="H8" s="60"/>
      <c r="I8" s="60"/>
      <c r="J8" s="60"/>
      <c r="K8" s="60"/>
      <c r="L8" s="60"/>
      <c r="M8" s="60"/>
      <c r="N8" s="60"/>
      <c r="O8" s="1"/>
    </row>
    <row r="9" spans="1:15" x14ac:dyDescent="0.2">
      <c r="A9" s="85"/>
      <c r="B9" s="3"/>
      <c r="C9" s="61">
        <v>2009</v>
      </c>
      <c r="D9" s="61">
        <v>2010</v>
      </c>
      <c r="E9" s="61">
        <v>2011</v>
      </c>
      <c r="F9" s="86">
        <v>2012</v>
      </c>
      <c r="G9" s="86">
        <v>2013</v>
      </c>
      <c r="H9" s="86">
        <v>2014</v>
      </c>
      <c r="I9" s="86" t="s">
        <v>27</v>
      </c>
      <c r="J9" s="86" t="s">
        <v>28</v>
      </c>
      <c r="K9" s="86" t="s">
        <v>29</v>
      </c>
      <c r="L9" s="86" t="s">
        <v>30</v>
      </c>
      <c r="M9" s="86" t="s">
        <v>31</v>
      </c>
      <c r="N9" s="86" t="s">
        <v>32</v>
      </c>
      <c r="O9" s="2"/>
    </row>
    <row r="10" spans="1:15" x14ac:dyDescent="0.2">
      <c r="A10" s="8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2"/>
    </row>
    <row r="11" spans="1:15" x14ac:dyDescent="0.2">
      <c r="A11" s="88"/>
      <c r="B11" s="89"/>
      <c r="C11" s="32"/>
      <c r="D11" s="32"/>
      <c r="E11" s="32"/>
      <c r="F11" s="65"/>
      <c r="G11" s="65"/>
      <c r="H11" s="65"/>
      <c r="I11" s="65"/>
      <c r="J11" s="65"/>
      <c r="K11" s="65"/>
      <c r="L11" s="65"/>
      <c r="M11" s="65"/>
      <c r="N11" s="65"/>
      <c r="O11" s="8"/>
    </row>
    <row r="12" spans="1:15" x14ac:dyDescent="0.2">
      <c r="A12" s="90" t="s">
        <v>15</v>
      </c>
      <c r="B12" s="91"/>
      <c r="C12" s="30">
        <v>36097063.896307349</v>
      </c>
      <c r="D12" s="31">
        <v>42481711.724343397</v>
      </c>
      <c r="E12" s="31">
        <v>48661303.583489999</v>
      </c>
      <c r="F12" s="92">
        <v>53868926.463459998</v>
      </c>
      <c r="G12" s="30">
        <v>60940246.056560002</v>
      </c>
      <c r="H12" s="30">
        <v>67736297.816080004</v>
      </c>
      <c r="I12" s="30">
        <f t="shared" ref="I12:N12" si="0">H12*1.1344</f>
        <v>76840056.242561162</v>
      </c>
      <c r="J12" s="30">
        <f t="shared" si="0"/>
        <v>87167359.801561385</v>
      </c>
      <c r="K12" s="30">
        <f t="shared" si="0"/>
        <v>98882652.958891243</v>
      </c>
      <c r="L12" s="30">
        <f t="shared" si="0"/>
        <v>112172481.51656623</v>
      </c>
      <c r="M12" s="30">
        <f t="shared" si="0"/>
        <v>127248463.03239274</v>
      </c>
      <c r="N12" s="30">
        <f t="shared" si="0"/>
        <v>144350656.46394634</v>
      </c>
      <c r="O12" s="8"/>
    </row>
    <row r="13" spans="1:15" x14ac:dyDescent="0.2">
      <c r="A13" s="88"/>
      <c r="B13" s="91"/>
      <c r="C13" s="74"/>
      <c r="D13" s="74"/>
      <c r="E13" s="74"/>
      <c r="F13" s="93"/>
      <c r="G13" s="32"/>
      <c r="H13" s="32"/>
      <c r="I13" s="32"/>
      <c r="J13" s="32"/>
      <c r="K13" s="32"/>
      <c r="L13" s="32"/>
      <c r="M13" s="32"/>
      <c r="N13" s="32"/>
      <c r="O13" s="8"/>
    </row>
    <row r="14" spans="1:15" x14ac:dyDescent="0.2">
      <c r="A14" s="94" t="s">
        <v>6</v>
      </c>
      <c r="B14" s="7"/>
      <c r="C14" s="30">
        <v>-33443569.689198218</v>
      </c>
      <c r="D14" s="31">
        <v>-39322887.405523732</v>
      </c>
      <c r="E14" s="31">
        <v>-45139600.6193</v>
      </c>
      <c r="F14" s="92">
        <v>-49768137.495265007</v>
      </c>
      <c r="G14" s="30">
        <v>-56165382.366900004</v>
      </c>
      <c r="H14" s="30">
        <v>-62304630.525100008</v>
      </c>
      <c r="I14" s="30">
        <f t="shared" ref="I14:N14" si="1">(H14*1.132821)</f>
        <v>-70579993.856074318</v>
      </c>
      <c r="J14" s="30">
        <f t="shared" si="1"/>
        <v>-79954499.220031977</v>
      </c>
      <c r="K14" s="30">
        <f t="shared" si="1"/>
        <v>-90574135.760935843</v>
      </c>
      <c r="L14" s="30">
        <f t="shared" si="1"/>
        <v>-102604283.0468391</v>
      </c>
      <c r="M14" s="30">
        <f t="shared" si="1"/>
        <v>-116232286.52540332</v>
      </c>
      <c r="N14" s="30">
        <f t="shared" si="1"/>
        <v>-131670375.05399393</v>
      </c>
      <c r="O14" s="6"/>
    </row>
    <row r="15" spans="1:15" x14ac:dyDescent="0.2">
      <c r="A15" s="94"/>
      <c r="B15" s="7"/>
      <c r="C15" s="32"/>
      <c r="D15" s="32"/>
      <c r="E15" s="32"/>
      <c r="F15" s="93"/>
      <c r="G15" s="32"/>
      <c r="H15" s="32"/>
      <c r="I15" s="32"/>
      <c r="J15" s="32"/>
      <c r="K15" s="32"/>
      <c r="L15" s="32"/>
      <c r="M15" s="32"/>
      <c r="N15" s="32"/>
      <c r="O15" s="6"/>
    </row>
    <row r="16" spans="1:15" x14ac:dyDescent="0.2">
      <c r="A16" s="94" t="s">
        <v>1</v>
      </c>
      <c r="B16" s="7"/>
      <c r="C16" s="30">
        <v>2653494.20710913</v>
      </c>
      <c r="D16" s="31">
        <v>3158824.3188196626</v>
      </c>
      <c r="E16" s="31">
        <v>3521702.9641899979</v>
      </c>
      <c r="F16" s="92">
        <v>4100788.9681949941</v>
      </c>
      <c r="G16" s="30">
        <v>4774863.6896599997</v>
      </c>
      <c r="H16" s="30">
        <v>5431667.2909799982</v>
      </c>
      <c r="I16" s="30">
        <f t="shared" ref="I16:N16" si="2">I12+I14</f>
        <v>6260062.3864868432</v>
      </c>
      <c r="J16" s="30">
        <f t="shared" si="2"/>
        <v>7212860.5815294087</v>
      </c>
      <c r="K16" s="30">
        <f t="shared" si="2"/>
        <v>8308517.1979553998</v>
      </c>
      <c r="L16" s="30">
        <f t="shared" si="2"/>
        <v>9568198.4697271287</v>
      </c>
      <c r="M16" s="30">
        <f t="shared" si="2"/>
        <v>11016176.506989419</v>
      </c>
      <c r="N16" s="30">
        <f t="shared" si="2"/>
        <v>12680281.409952417</v>
      </c>
      <c r="O16" s="6"/>
    </row>
    <row r="17" spans="1:15" x14ac:dyDescent="0.2">
      <c r="A17" s="94"/>
      <c r="B17" s="7"/>
      <c r="C17" s="32"/>
      <c r="D17" s="32"/>
      <c r="E17" s="32"/>
      <c r="F17" s="93"/>
      <c r="G17" s="32"/>
      <c r="H17" s="32"/>
      <c r="I17" s="32"/>
      <c r="J17" s="32"/>
      <c r="K17" s="32"/>
      <c r="L17" s="32"/>
      <c r="M17" s="32"/>
      <c r="N17" s="32"/>
      <c r="O17" s="6"/>
    </row>
    <row r="18" spans="1:15" x14ac:dyDescent="0.2">
      <c r="A18" s="94" t="s">
        <v>2</v>
      </c>
      <c r="B18" s="7"/>
      <c r="C18" s="30">
        <v>-1771717.6061491463</v>
      </c>
      <c r="D18" s="31">
        <v>-1924100.4728520941</v>
      </c>
      <c r="E18" s="31">
        <v>-2143104.32064</v>
      </c>
      <c r="F18" s="92">
        <v>-2470689.6305749994</v>
      </c>
      <c r="G18" s="31">
        <v>-2768691.8435499999</v>
      </c>
      <c r="H18" s="31">
        <v>-3288962.0037099998</v>
      </c>
      <c r="I18" s="31">
        <f t="shared" ref="I18:N18" si="3">I20+I19</f>
        <v>-3672079.7927521905</v>
      </c>
      <c r="J18" s="31">
        <f t="shared" si="3"/>
        <v>-4101402.6296821185</v>
      </c>
      <c r="K18" s="31">
        <f t="shared" si="3"/>
        <v>-4582657.4610008225</v>
      </c>
      <c r="L18" s="31">
        <f t="shared" si="3"/>
        <v>-5122295.6835391</v>
      </c>
      <c r="M18" s="31">
        <f t="shared" si="3"/>
        <v>-5727586.1318844724</v>
      </c>
      <c r="N18" s="31">
        <f t="shared" si="3"/>
        <v>-6406720.122652051</v>
      </c>
      <c r="O18" s="6"/>
    </row>
    <row r="19" spans="1:15" x14ac:dyDescent="0.2">
      <c r="A19" s="7" t="s">
        <v>5</v>
      </c>
      <c r="B19" s="7"/>
      <c r="C19" s="32">
        <v>-1020295.470322059</v>
      </c>
      <c r="D19" s="32">
        <v>-1164422.4244497032</v>
      </c>
      <c r="E19" s="32">
        <v>-1349880.35005</v>
      </c>
      <c r="F19" s="95">
        <v>-1579589.16946</v>
      </c>
      <c r="G19" s="74">
        <v>-1756375.78092</v>
      </c>
      <c r="H19" s="74">
        <v>-2158659.2248</v>
      </c>
      <c r="I19" s="74">
        <f t="shared" ref="I19:N19" si="4">(H19*1.132332)</f>
        <v>-2444318.9173362334</v>
      </c>
      <c r="J19" s="74">
        <f t="shared" si="4"/>
        <v>-2767780.5283051715</v>
      </c>
      <c r="K19" s="74">
        <f t="shared" si="4"/>
        <v>-3134046.4611768513</v>
      </c>
      <c r="L19" s="74">
        <f t="shared" si="4"/>
        <v>-3548781.0974773061</v>
      </c>
      <c r="M19" s="74">
        <f t="shared" si="4"/>
        <v>-4018398.3976686727</v>
      </c>
      <c r="N19" s="74">
        <f t="shared" si="4"/>
        <v>-4550161.094428963</v>
      </c>
      <c r="O19" s="6"/>
    </row>
    <row r="20" spans="1:15" x14ac:dyDescent="0.2">
      <c r="A20" s="7" t="s">
        <v>4</v>
      </c>
      <c r="B20" s="7"/>
      <c r="C20" s="32">
        <v>-751422.13582708698</v>
      </c>
      <c r="D20" s="32">
        <v>-759678.04840239091</v>
      </c>
      <c r="E20" s="32">
        <v>-793223.97059000004</v>
      </c>
      <c r="F20" s="95">
        <v>-891100.46111499972</v>
      </c>
      <c r="G20" s="74">
        <v>-1012316.0626300001</v>
      </c>
      <c r="H20" s="74">
        <v>-1130302.7789100001</v>
      </c>
      <c r="I20" s="74">
        <f t="shared" ref="I20:N20" si="5">H20*1.086223</f>
        <v>-1227760.8754159571</v>
      </c>
      <c r="J20" s="74">
        <f t="shared" si="5"/>
        <v>-1333622.101376947</v>
      </c>
      <c r="K20" s="74">
        <f t="shared" si="5"/>
        <v>-1448610.9998239714</v>
      </c>
      <c r="L20" s="74">
        <f t="shared" si="5"/>
        <v>-1573514.5860617936</v>
      </c>
      <c r="M20" s="74">
        <f t="shared" si="5"/>
        <v>-1709187.7342157995</v>
      </c>
      <c r="N20" s="74">
        <f t="shared" si="5"/>
        <v>-1856559.0282230882</v>
      </c>
      <c r="O20" s="6"/>
    </row>
    <row r="21" spans="1:15" x14ac:dyDescent="0.2">
      <c r="A21" s="94"/>
      <c r="B21" s="7"/>
      <c r="C21" s="32"/>
      <c r="D21" s="32"/>
      <c r="E21" s="32"/>
      <c r="F21" s="93"/>
      <c r="G21" s="32"/>
      <c r="H21" s="32"/>
      <c r="I21" s="32"/>
      <c r="J21" s="32"/>
      <c r="K21" s="32"/>
      <c r="L21" s="32"/>
      <c r="M21" s="32"/>
      <c r="N21" s="32"/>
      <c r="O21" s="6"/>
    </row>
    <row r="22" spans="1:15" x14ac:dyDescent="0.2">
      <c r="A22" s="94" t="s">
        <v>18</v>
      </c>
      <c r="B22" s="94"/>
      <c r="C22" s="30">
        <v>19330.667001899004</v>
      </c>
      <c r="D22" s="31">
        <v>10789.738859424</v>
      </c>
      <c r="E22" s="31">
        <v>52010.27317</v>
      </c>
      <c r="F22" s="92">
        <v>74133.506209999992</v>
      </c>
      <c r="G22" s="30">
        <v>97580.766139999992</v>
      </c>
      <c r="H22" s="30">
        <v>106914.71028</v>
      </c>
      <c r="I22" s="30">
        <f t="shared" ref="I22:N22" si="6">C22*1.843137</f>
        <v>35629.067585879129</v>
      </c>
      <c r="J22" s="30">
        <f t="shared" si="6"/>
        <v>19886.966912142172</v>
      </c>
      <c r="K22" s="30">
        <f t="shared" si="6"/>
        <v>95862.058859734287</v>
      </c>
      <c r="L22" s="30">
        <f t="shared" si="6"/>
        <v>136638.20823538076</v>
      </c>
      <c r="M22" s="30">
        <f t="shared" si="6"/>
        <v>179854.72056098116</v>
      </c>
      <c r="N22" s="30">
        <f t="shared" si="6"/>
        <v>197058.45836134837</v>
      </c>
      <c r="O22" s="9"/>
    </row>
    <row r="23" spans="1:15" x14ac:dyDescent="0.2">
      <c r="A23" s="94"/>
      <c r="B23" s="7"/>
      <c r="C23" s="32"/>
      <c r="D23" s="32"/>
      <c r="E23" s="32"/>
      <c r="F23" s="93"/>
      <c r="G23" s="32"/>
      <c r="H23" s="32"/>
      <c r="I23" s="32"/>
      <c r="J23" s="32"/>
      <c r="K23" s="32"/>
      <c r="L23" s="32"/>
      <c r="M23" s="32"/>
      <c r="N23" s="32"/>
      <c r="O23" s="6"/>
    </row>
    <row r="24" spans="1:15" x14ac:dyDescent="0.2">
      <c r="A24" s="94" t="s">
        <v>14</v>
      </c>
      <c r="B24" s="94"/>
      <c r="C24" s="30">
        <v>18932.042549998001</v>
      </c>
      <c r="D24" s="31">
        <v>78968.72949671399</v>
      </c>
      <c r="E24" s="31">
        <v>21390.052540000001</v>
      </c>
      <c r="F24" s="92">
        <v>3656.0942700000005</v>
      </c>
      <c r="G24" s="30">
        <v>40280.10613</v>
      </c>
      <c r="H24" s="30">
        <v>36978.015659999997</v>
      </c>
      <c r="I24" s="30">
        <f>C24*1.35</f>
        <v>25558.257442497303</v>
      </c>
      <c r="J24" s="30">
        <f>D24*1.3057</f>
        <v>103109.47010385946</v>
      </c>
      <c r="K24" s="30">
        <f>E24*1.2466</f>
        <v>26664.839496363998</v>
      </c>
      <c r="L24" s="30">
        <f>F24*1.1816</f>
        <v>4320.040989432001</v>
      </c>
      <c r="M24" s="30">
        <f>G24*1.1232</f>
        <v>45242.615205215996</v>
      </c>
      <c r="N24" s="30">
        <f>H24*1.0641</f>
        <v>39348.306463806002</v>
      </c>
      <c r="O24" s="9"/>
    </row>
    <row r="25" spans="1:15" x14ac:dyDescent="0.2">
      <c r="A25" s="94"/>
      <c r="B25" s="94"/>
      <c r="C25" s="31"/>
      <c r="D25" s="31"/>
      <c r="E25" s="31"/>
      <c r="F25" s="96"/>
      <c r="G25" s="31"/>
      <c r="H25" s="31"/>
      <c r="I25" s="31"/>
      <c r="J25" s="31"/>
      <c r="K25" s="31"/>
      <c r="L25" s="31"/>
      <c r="M25" s="31"/>
      <c r="N25" s="31"/>
      <c r="O25" s="9"/>
    </row>
    <row r="26" spans="1:15" x14ac:dyDescent="0.2">
      <c r="A26" s="94" t="s">
        <v>26</v>
      </c>
      <c r="B26" s="7"/>
      <c r="C26" s="30">
        <v>920039.31051188079</v>
      </c>
      <c r="D26" s="31">
        <v>1324482.3143237066</v>
      </c>
      <c r="E26" s="31">
        <v>1451998.9692599983</v>
      </c>
      <c r="F26" s="92">
        <v>1707888.9380999953</v>
      </c>
      <c r="G26" s="31">
        <v>2144032.71838</v>
      </c>
      <c r="H26" s="31">
        <v>2286598.0132099981</v>
      </c>
      <c r="I26" s="31">
        <f t="shared" ref="I26:N26" si="7">I16+I18+I22+I24</f>
        <v>2649169.9187630289</v>
      </c>
      <c r="J26" s="31">
        <f t="shared" si="7"/>
        <v>3234454.3888632916</v>
      </c>
      <c r="K26" s="31">
        <f t="shared" si="7"/>
        <v>3848386.6353106755</v>
      </c>
      <c r="L26" s="31">
        <f t="shared" si="7"/>
        <v>4586861.0354128415</v>
      </c>
      <c r="M26" s="31">
        <f t="shared" si="7"/>
        <v>5513687.7108711442</v>
      </c>
      <c r="N26" s="31">
        <f t="shared" si="7"/>
        <v>6509968.0521255201</v>
      </c>
      <c r="O26" s="6"/>
    </row>
    <row r="27" spans="1:15" x14ac:dyDescent="0.2">
      <c r="A27" s="94"/>
      <c r="B27" s="7"/>
      <c r="C27" s="32"/>
      <c r="D27" s="32"/>
      <c r="E27" s="32"/>
      <c r="F27" s="93"/>
      <c r="G27" s="32"/>
      <c r="H27" s="32"/>
      <c r="I27" s="32"/>
      <c r="J27" s="32"/>
      <c r="K27" s="32"/>
      <c r="L27" s="32"/>
      <c r="M27" s="32"/>
      <c r="N27" s="32"/>
      <c r="O27" s="6"/>
    </row>
    <row r="28" spans="1:15" x14ac:dyDescent="0.2">
      <c r="A28" s="94" t="s">
        <v>7</v>
      </c>
      <c r="B28" s="7"/>
      <c r="C28" s="30">
        <v>-291509</v>
      </c>
      <c r="D28" s="31">
        <v>-264086</v>
      </c>
      <c r="E28" s="31">
        <v>-296503.87958999997</v>
      </c>
      <c r="F28" s="92">
        <v>-270322.32639999996</v>
      </c>
      <c r="G28" s="31">
        <v>-337604.97973999998</v>
      </c>
      <c r="H28" s="31">
        <v>-445407.23900999996</v>
      </c>
      <c r="I28" s="31">
        <f t="shared" ref="I28:N28" si="8">I29+I30</f>
        <v>-318808.37951600004</v>
      </c>
      <c r="J28" s="31">
        <f t="shared" si="8"/>
        <v>-281093.54579300003</v>
      </c>
      <c r="K28" s="31">
        <f t="shared" si="8"/>
        <v>-313970.39075213077</v>
      </c>
      <c r="L28" s="31">
        <f t="shared" si="8"/>
        <v>-286502.49203222658</v>
      </c>
      <c r="M28" s="31">
        <f t="shared" si="8"/>
        <v>-366595.02970566915</v>
      </c>
      <c r="N28" s="31">
        <f t="shared" si="8"/>
        <v>-480154.81590635411</v>
      </c>
      <c r="O28" s="6"/>
    </row>
    <row r="29" spans="1:15" x14ac:dyDescent="0.2">
      <c r="A29" s="7" t="s">
        <v>8</v>
      </c>
      <c r="B29" s="7"/>
      <c r="C29" s="32">
        <v>176203</v>
      </c>
      <c r="D29" s="32">
        <v>266965</v>
      </c>
      <c r="E29" s="32">
        <v>322371.97765999998</v>
      </c>
      <c r="F29" s="95">
        <v>208155.47008</v>
      </c>
      <c r="G29" s="74">
        <v>240561.86015000002</v>
      </c>
      <c r="H29" s="74">
        <v>366008.97874000005</v>
      </c>
      <c r="I29" s="74">
        <f>C29*1.2091</f>
        <v>213047.04730000001</v>
      </c>
      <c r="J29" s="74">
        <f>D29*1.2091</f>
        <v>322787.38150000002</v>
      </c>
      <c r="K29" s="74">
        <f>E29*1.2091</f>
        <v>389779.95818870596</v>
      </c>
      <c r="L29" s="74">
        <f>I29*1.2091</f>
        <v>257595.18489043001</v>
      </c>
      <c r="M29" s="74">
        <f>G29*1.2091</f>
        <v>290863.34510736505</v>
      </c>
      <c r="N29" s="74">
        <f>H29*1.2091</f>
        <v>442541.45619453408</v>
      </c>
      <c r="O29" s="6"/>
    </row>
    <row r="30" spans="1:15" x14ac:dyDescent="0.2">
      <c r="A30" s="7" t="s">
        <v>9</v>
      </c>
      <c r="B30" s="7"/>
      <c r="C30" s="32">
        <v>-467712</v>
      </c>
      <c r="D30" s="32">
        <v>-531051</v>
      </c>
      <c r="E30" s="32">
        <v>-618875.85725</v>
      </c>
      <c r="F30" s="95">
        <v>-478477.79647999996</v>
      </c>
      <c r="G30" s="74">
        <v>-578166.83988999994</v>
      </c>
      <c r="H30" s="74">
        <v>-811416.21774999995</v>
      </c>
      <c r="I30" s="74">
        <f t="shared" ref="I30:N30" si="9">C30*1.137143</f>
        <v>-531855.42681600002</v>
      </c>
      <c r="J30" s="74">
        <f t="shared" si="9"/>
        <v>-603880.92729300004</v>
      </c>
      <c r="K30" s="74">
        <f t="shared" si="9"/>
        <v>-703750.34894083673</v>
      </c>
      <c r="L30" s="74">
        <f t="shared" si="9"/>
        <v>-544097.6769226566</v>
      </c>
      <c r="M30" s="74">
        <f t="shared" si="9"/>
        <v>-657458.3748130342</v>
      </c>
      <c r="N30" s="74">
        <f t="shared" si="9"/>
        <v>-922696.27210088819</v>
      </c>
      <c r="O30" s="6"/>
    </row>
    <row r="31" spans="1:15" x14ac:dyDescent="0.2">
      <c r="A31" s="94"/>
      <c r="B31" s="7"/>
      <c r="C31" s="32"/>
      <c r="D31" s="32"/>
      <c r="E31" s="32"/>
      <c r="F31" s="93"/>
      <c r="G31" s="32"/>
      <c r="H31" s="32"/>
      <c r="I31" s="32"/>
      <c r="J31" s="32"/>
      <c r="K31" s="32"/>
      <c r="L31" s="32"/>
      <c r="M31" s="32"/>
      <c r="N31" s="32"/>
      <c r="O31" s="6"/>
    </row>
    <row r="32" spans="1:15" x14ac:dyDescent="0.2">
      <c r="A32" s="94" t="s">
        <v>10</v>
      </c>
      <c r="B32" s="7"/>
      <c r="C32" s="30">
        <v>230</v>
      </c>
      <c r="D32" s="31">
        <v>4</v>
      </c>
      <c r="E32" s="31">
        <v>192.42883</v>
      </c>
      <c r="F32" s="92">
        <v>10480.265409999996</v>
      </c>
      <c r="G32" s="30">
        <v>-4993.1500400000004</v>
      </c>
      <c r="H32" s="30">
        <v>-16489.457000000002</v>
      </c>
      <c r="I32" s="30">
        <v>11220</v>
      </c>
      <c r="J32" s="30">
        <v>5674</v>
      </c>
      <c r="K32" s="30">
        <v>-13452</v>
      </c>
      <c r="L32" s="30">
        <v>4563</v>
      </c>
      <c r="M32" s="30">
        <v>5643</v>
      </c>
      <c r="N32" s="30">
        <v>-10423</v>
      </c>
      <c r="O32" s="6"/>
    </row>
    <row r="33" spans="1:15" x14ac:dyDescent="0.2">
      <c r="A33" s="94"/>
      <c r="B33" s="7"/>
      <c r="C33" s="32"/>
      <c r="D33" s="32"/>
      <c r="E33" s="32"/>
      <c r="F33" s="93"/>
      <c r="G33" s="32"/>
      <c r="H33" s="32"/>
      <c r="I33" s="32"/>
      <c r="J33" s="32"/>
      <c r="K33" s="32"/>
      <c r="L33" s="32"/>
      <c r="M33" s="32"/>
      <c r="N33" s="32"/>
      <c r="O33" s="6"/>
    </row>
    <row r="34" spans="1:15" x14ac:dyDescent="0.2">
      <c r="A34" s="94" t="s">
        <v>19</v>
      </c>
      <c r="B34" s="7"/>
      <c r="C34" s="30">
        <v>628760.31051188102</v>
      </c>
      <c r="D34" s="31">
        <v>1060400.3143237066</v>
      </c>
      <c r="E34" s="31">
        <v>1155687.5184999979</v>
      </c>
      <c r="F34" s="92">
        <v>1448046.8771099951</v>
      </c>
      <c r="G34" s="31">
        <v>1801434.5885999999</v>
      </c>
      <c r="H34" s="31">
        <v>1824701.3171999981</v>
      </c>
      <c r="I34" s="31">
        <f t="shared" ref="I34:N34" si="10">I26+I28+I32</f>
        <v>2341581.539247029</v>
      </c>
      <c r="J34" s="31">
        <f t="shared" si="10"/>
        <v>2959034.8430702914</v>
      </c>
      <c r="K34" s="31">
        <f t="shared" si="10"/>
        <v>3520964.2445585448</v>
      </c>
      <c r="L34" s="31">
        <f t="shared" si="10"/>
        <v>4304921.5433806153</v>
      </c>
      <c r="M34" s="31">
        <f t="shared" si="10"/>
        <v>5152735.6811654754</v>
      </c>
      <c r="N34" s="31">
        <f t="shared" si="10"/>
        <v>6019390.2362191658</v>
      </c>
      <c r="O34" s="6"/>
    </row>
    <row r="35" spans="1:15" x14ac:dyDescent="0.2">
      <c r="A35" s="7" t="s">
        <v>11</v>
      </c>
      <c r="B35" s="7"/>
      <c r="C35" s="32">
        <v>-208595.43846210701</v>
      </c>
      <c r="D35" s="32">
        <v>-325941.97189604602</v>
      </c>
      <c r="E35" s="32">
        <v>-329092.40038000001</v>
      </c>
      <c r="F35" s="95">
        <v>-464713.92690930236</v>
      </c>
      <c r="G35" s="74">
        <v>-625476.55236999993</v>
      </c>
      <c r="H35" s="74">
        <v>-636893.62112999998</v>
      </c>
      <c r="I35" s="74">
        <f t="shared" ref="I35:N35" si="11">-(I34*0.3235)</f>
        <v>-757501.62794641394</v>
      </c>
      <c r="J35" s="74">
        <f t="shared" si="11"/>
        <v>-957247.77173323929</v>
      </c>
      <c r="K35" s="74">
        <f t="shared" si="11"/>
        <v>-1139031.9331146893</v>
      </c>
      <c r="L35" s="74">
        <f t="shared" si="11"/>
        <v>-1392642.1192836291</v>
      </c>
      <c r="M35" s="74">
        <f t="shared" si="11"/>
        <v>-1666909.9928570313</v>
      </c>
      <c r="N35" s="74">
        <f t="shared" si="11"/>
        <v>-1947272.7414169002</v>
      </c>
      <c r="O35" s="6"/>
    </row>
    <row r="36" spans="1:15" x14ac:dyDescent="0.2">
      <c r="A36" s="7" t="s">
        <v>12</v>
      </c>
      <c r="B36" s="7"/>
      <c r="C36" s="32">
        <v>20575.404840000003</v>
      </c>
      <c r="D36" s="32">
        <v>30728.291440000001</v>
      </c>
      <c r="E36" s="32">
        <v>28192.109519999998</v>
      </c>
      <c r="F36" s="95">
        <v>43441.74181</v>
      </c>
      <c r="G36" s="74">
        <v>52755.068779999994</v>
      </c>
      <c r="H36" s="74">
        <v>63404.963760000006</v>
      </c>
      <c r="I36" s="74">
        <f t="shared" ref="I36:N36" si="12">-I35*0.0927</f>
        <v>70220.400910632568</v>
      </c>
      <c r="J36" s="74">
        <f t="shared" si="12"/>
        <v>88736.868439671292</v>
      </c>
      <c r="K36" s="74">
        <f t="shared" si="12"/>
        <v>105588.26019973171</v>
      </c>
      <c r="L36" s="74">
        <f t="shared" si="12"/>
        <v>129097.92445759242</v>
      </c>
      <c r="M36" s="74">
        <f t="shared" si="12"/>
        <v>154522.55633784682</v>
      </c>
      <c r="N36" s="74">
        <f t="shared" si="12"/>
        <v>180512.18312934667</v>
      </c>
      <c r="O36" s="6"/>
    </row>
    <row r="37" spans="1:15" x14ac:dyDescent="0.2">
      <c r="A37" s="94"/>
      <c r="B37" s="7"/>
      <c r="C37" s="31"/>
      <c r="D37" s="31"/>
      <c r="E37" s="31"/>
      <c r="F37" s="92"/>
      <c r="G37" s="30"/>
      <c r="H37" s="30"/>
      <c r="I37" s="30"/>
      <c r="J37" s="30"/>
      <c r="K37" s="30"/>
      <c r="L37" s="30"/>
      <c r="M37" s="30"/>
      <c r="N37" s="30"/>
      <c r="O37" s="6"/>
    </row>
    <row r="38" spans="1:15" x14ac:dyDescent="0.2">
      <c r="A38" s="94" t="s">
        <v>13</v>
      </c>
      <c r="B38" s="7"/>
      <c r="C38" s="30">
        <v>440740.2768897739</v>
      </c>
      <c r="D38" s="31">
        <v>765186.63386766042</v>
      </c>
      <c r="E38" s="31">
        <v>854787.22763999819</v>
      </c>
      <c r="F38" s="92">
        <v>1026774.6920106926</v>
      </c>
      <c r="G38" s="31">
        <v>1228713.1050099998</v>
      </c>
      <c r="H38" s="31">
        <v>1251212.6598299979</v>
      </c>
      <c r="I38" s="31">
        <f t="shared" ref="I38:N38" si="13">I34+I35+I36</f>
        <v>1654300.3122112476</v>
      </c>
      <c r="J38" s="31">
        <f>J34+J35+J36</f>
        <v>2090523.9397767235</v>
      </c>
      <c r="K38" s="31">
        <f>K34+K35+K36</f>
        <v>2487520.5716435872</v>
      </c>
      <c r="L38" s="31">
        <f>L34+L35+L36</f>
        <v>3041377.3485545786</v>
      </c>
      <c r="M38" s="31">
        <f t="shared" si="13"/>
        <v>3640348.2446462908</v>
      </c>
      <c r="N38" s="31">
        <f t="shared" si="13"/>
        <v>4252629.6779316124</v>
      </c>
      <c r="O38" s="6"/>
    </row>
    <row r="39" spans="1:15" x14ac:dyDescent="0.2">
      <c r="A39" s="94"/>
      <c r="B39" s="7"/>
      <c r="C39" s="32"/>
      <c r="D39" s="32"/>
      <c r="E39" s="32"/>
      <c r="F39" s="95"/>
      <c r="G39" s="74"/>
      <c r="H39" s="74"/>
      <c r="I39" s="74"/>
      <c r="J39" s="74"/>
      <c r="K39" s="74"/>
      <c r="L39" s="74"/>
      <c r="M39" s="74"/>
      <c r="N39" s="74"/>
      <c r="O39" s="6"/>
    </row>
    <row r="40" spans="1:15" x14ac:dyDescent="0.2">
      <c r="A40" s="94" t="s">
        <v>0</v>
      </c>
      <c r="B40" s="7"/>
      <c r="C40" s="30">
        <f>C16+C18+C22+C41+C42+C32</f>
        <v>1430657.2679618825</v>
      </c>
      <c r="D40" s="30">
        <f t="shared" ref="D40:N40" si="14">D16+D18+D22+D41+D42+D32</f>
        <v>1776345.5848269924</v>
      </c>
      <c r="E40" s="30">
        <f t="shared" si="14"/>
        <v>2010697.3455499979</v>
      </c>
      <c r="F40" s="30">
        <f t="shared" si="14"/>
        <v>2407792.109239995</v>
      </c>
      <c r="G40" s="30">
        <f t="shared" si="14"/>
        <v>2877696.4622099996</v>
      </c>
      <c r="H40" s="30">
        <f t="shared" si="14"/>
        <v>3120957.5405499986</v>
      </c>
      <c r="I40" s="30">
        <f t="shared" si="14"/>
        <v>3601249.7078605318</v>
      </c>
      <c r="J40" s="30">
        <f t="shared" si="14"/>
        <v>4188993.9688116349</v>
      </c>
      <c r="K40" s="30">
        <f t="shared" si="14"/>
        <v>4953386.0161174852</v>
      </c>
      <c r="L40" s="30">
        <f t="shared" si="14"/>
        <v>5833618.6930206064</v>
      </c>
      <c r="M40" s="30">
        <f t="shared" si="14"/>
        <v>6830991.5402040798</v>
      </c>
      <c r="N40" s="30">
        <f t="shared" si="14"/>
        <v>7937277.3036804851</v>
      </c>
      <c r="O40" s="6"/>
    </row>
    <row r="41" spans="1:15" x14ac:dyDescent="0.2">
      <c r="A41" s="7" t="s">
        <v>42</v>
      </c>
      <c r="B41" s="7"/>
      <c r="C41" s="32">
        <v>310116</v>
      </c>
      <c r="D41" s="32">
        <v>378226</v>
      </c>
      <c r="E41" s="32">
        <v>420537</v>
      </c>
      <c r="F41" s="95">
        <v>454852</v>
      </c>
      <c r="G41" s="74">
        <v>484761</v>
      </c>
      <c r="H41" s="74">
        <v>584047</v>
      </c>
      <c r="I41" s="74">
        <f t="shared" ref="I41:N41" si="15">H41*1.09082</f>
        <v>637090.14853999997</v>
      </c>
      <c r="J41" s="74">
        <f t="shared" si="15"/>
        <v>694950.67583040264</v>
      </c>
      <c r="K41" s="74">
        <f t="shared" si="15"/>
        <v>758066.09620931977</v>
      </c>
      <c r="L41" s="74">
        <f t="shared" si="15"/>
        <v>826913.65906705009</v>
      </c>
      <c r="M41" s="74">
        <f t="shared" si="15"/>
        <v>902013.95758351951</v>
      </c>
      <c r="N41" s="74">
        <f t="shared" si="15"/>
        <v>983934.86521125468</v>
      </c>
      <c r="O41" s="6"/>
    </row>
    <row r="42" spans="1:15" x14ac:dyDescent="0.2">
      <c r="A42" s="7" t="s">
        <v>43</v>
      </c>
      <c r="B42" s="7"/>
      <c r="C42" s="97">
        <v>219204</v>
      </c>
      <c r="D42" s="97">
        <v>152602</v>
      </c>
      <c r="E42" s="97">
        <v>159359</v>
      </c>
      <c r="F42" s="97">
        <v>238227</v>
      </c>
      <c r="G42" s="97">
        <v>294176</v>
      </c>
      <c r="H42" s="97">
        <v>303780</v>
      </c>
      <c r="I42" s="97">
        <f t="shared" ref="I42:N42" si="16">H42*1.0841</f>
        <v>329327.89800000004</v>
      </c>
      <c r="J42" s="97">
        <f t="shared" si="16"/>
        <v>357024.37422180007</v>
      </c>
      <c r="K42" s="97">
        <f t="shared" si="16"/>
        <v>387050.12409385346</v>
      </c>
      <c r="L42" s="97">
        <f t="shared" si="16"/>
        <v>419601.03953014658</v>
      </c>
      <c r="M42" s="97">
        <f t="shared" si="16"/>
        <v>454889.48695463192</v>
      </c>
      <c r="N42" s="97">
        <f t="shared" si="16"/>
        <v>493145.69280751649</v>
      </c>
      <c r="O42" s="6"/>
    </row>
    <row r="43" spans="1:15" x14ac:dyDescent="0.2">
      <c r="A43" s="94" t="s">
        <v>33</v>
      </c>
      <c r="B43" s="7"/>
      <c r="C43" s="98">
        <f>C44+C45+C46</f>
        <v>1042135.2768897738</v>
      </c>
      <c r="D43" s="98">
        <f t="shared" ref="D43:N43" si="17">D44+D45+D46</f>
        <v>1407494.6338676605</v>
      </c>
      <c r="E43" s="98">
        <f t="shared" si="17"/>
        <v>1571635.6783999982</v>
      </c>
      <c r="F43" s="98">
        <f t="shared" si="17"/>
        <v>1741468.7530006929</v>
      </c>
      <c r="G43" s="98">
        <f t="shared" si="17"/>
        <v>2056072.2347900001</v>
      </c>
      <c r="H43" s="98">
        <f t="shared" si="17"/>
        <v>2297156.355839998</v>
      </c>
      <c r="I43" s="98">
        <f t="shared" si="17"/>
        <v>2598978.8402672475</v>
      </c>
      <c r="J43" s="98">
        <f t="shared" si="17"/>
        <v>3060894.1614001263</v>
      </c>
      <c r="K43" s="98">
        <f t="shared" si="17"/>
        <v>3573009.0586050376</v>
      </c>
      <c r="L43" s="98">
        <f t="shared" si="17"/>
        <v>4150230.4996538553</v>
      </c>
      <c r="M43" s="98">
        <f t="shared" si="17"/>
        <v>4903314.2319354797</v>
      </c>
      <c r="N43" s="98">
        <f t="shared" si="17"/>
        <v>5727142.3590492215</v>
      </c>
      <c r="O43" s="6"/>
    </row>
    <row r="44" spans="1:15" x14ac:dyDescent="0.2">
      <c r="A44" s="7" t="s">
        <v>34</v>
      </c>
      <c r="B44" s="7"/>
      <c r="C44" s="97">
        <f>C26</f>
        <v>920039.31051188079</v>
      </c>
      <c r="D44" s="97">
        <f t="shared" ref="D44:N44" si="18">D26</f>
        <v>1324482.3143237066</v>
      </c>
      <c r="E44" s="97">
        <f t="shared" si="18"/>
        <v>1451998.9692599983</v>
      </c>
      <c r="F44" s="97">
        <f t="shared" si="18"/>
        <v>1707888.9380999953</v>
      </c>
      <c r="G44" s="97">
        <f t="shared" si="18"/>
        <v>2144032.71838</v>
      </c>
      <c r="H44" s="97">
        <f t="shared" si="18"/>
        <v>2286598.0132099981</v>
      </c>
      <c r="I44" s="97">
        <f t="shared" si="18"/>
        <v>2649169.9187630289</v>
      </c>
      <c r="J44" s="97">
        <f t="shared" si="18"/>
        <v>3234454.3888632916</v>
      </c>
      <c r="K44" s="97">
        <f t="shared" si="18"/>
        <v>3848386.6353106755</v>
      </c>
      <c r="L44" s="97">
        <f t="shared" si="18"/>
        <v>4586861.0354128415</v>
      </c>
      <c r="M44" s="97">
        <f t="shared" si="18"/>
        <v>5513687.7108711442</v>
      </c>
      <c r="N44" s="97">
        <f t="shared" si="18"/>
        <v>6509968.0521255201</v>
      </c>
      <c r="O44" s="6"/>
    </row>
    <row r="45" spans="1:15" x14ac:dyDescent="0.2">
      <c r="A45" s="7" t="s">
        <v>41</v>
      </c>
      <c r="B45" s="7"/>
      <c r="C45" s="97">
        <f>C41</f>
        <v>310116</v>
      </c>
      <c r="D45" s="97">
        <f>D41</f>
        <v>378226</v>
      </c>
      <c r="E45" s="97">
        <f>E41</f>
        <v>420537</v>
      </c>
      <c r="F45" s="97">
        <f>F41</f>
        <v>454852</v>
      </c>
      <c r="G45" s="97">
        <f>G41</f>
        <v>484761</v>
      </c>
      <c r="H45" s="97">
        <v>584047</v>
      </c>
      <c r="I45" s="97">
        <f t="shared" ref="I45:N45" si="19">I41</f>
        <v>637090.14853999997</v>
      </c>
      <c r="J45" s="97">
        <f t="shared" si="19"/>
        <v>694950.67583040264</v>
      </c>
      <c r="K45" s="97">
        <f t="shared" si="19"/>
        <v>758066.09620931977</v>
      </c>
      <c r="L45" s="97">
        <f t="shared" si="19"/>
        <v>826913.65906705009</v>
      </c>
      <c r="M45" s="97">
        <f t="shared" si="19"/>
        <v>902013.95758351951</v>
      </c>
      <c r="N45" s="97">
        <f t="shared" si="19"/>
        <v>983934.86521125468</v>
      </c>
      <c r="O45" s="6"/>
    </row>
    <row r="46" spans="1:15" x14ac:dyDescent="0.2">
      <c r="A46" s="7" t="s">
        <v>35</v>
      </c>
      <c r="B46" s="7"/>
      <c r="C46" s="97">
        <f>(C35+C36)</f>
        <v>-188020.033622107</v>
      </c>
      <c r="D46" s="97">
        <f>(D35+D36)</f>
        <v>-295213.68045604602</v>
      </c>
      <c r="E46" s="97">
        <f>(E35+E36)</f>
        <v>-300900.29086000001</v>
      </c>
      <c r="F46" s="97">
        <f t="shared" ref="F46:N46" si="20">(F35+F36)</f>
        <v>-421272.18509930238</v>
      </c>
      <c r="G46" s="97">
        <f t="shared" si="20"/>
        <v>-572721.48358999996</v>
      </c>
      <c r="H46" s="97">
        <f t="shared" si="20"/>
        <v>-573488.65737000003</v>
      </c>
      <c r="I46" s="97">
        <f t="shared" si="20"/>
        <v>-687281.22703578137</v>
      </c>
      <c r="J46" s="97">
        <f t="shared" si="20"/>
        <v>-868510.90329356794</v>
      </c>
      <c r="K46" s="97">
        <f t="shared" si="20"/>
        <v>-1033443.6729149576</v>
      </c>
      <c r="L46" s="97">
        <f t="shared" si="20"/>
        <v>-1263544.1948260367</v>
      </c>
      <c r="M46" s="97">
        <f t="shared" si="20"/>
        <v>-1512387.4365191844</v>
      </c>
      <c r="N46" s="97">
        <f t="shared" si="20"/>
        <v>-1766760.5582875535</v>
      </c>
      <c r="O46" s="6"/>
    </row>
    <row r="47" spans="1:15" x14ac:dyDescent="0.2">
      <c r="A47" s="94" t="str">
        <f>A43</f>
        <v xml:space="preserve">FLUXO DE CAIXA OPERACIONAL </v>
      </c>
      <c r="B47" s="99"/>
      <c r="C47" s="30">
        <f>C43</f>
        <v>1042135.2768897738</v>
      </c>
      <c r="D47" s="30">
        <f t="shared" ref="D47:N47" si="21">D43</f>
        <v>1407494.6338676605</v>
      </c>
      <c r="E47" s="30">
        <f t="shared" si="21"/>
        <v>1571635.6783999982</v>
      </c>
      <c r="F47" s="30">
        <f t="shared" si="21"/>
        <v>1741468.7530006929</v>
      </c>
      <c r="G47" s="30">
        <f t="shared" si="21"/>
        <v>2056072.2347900001</v>
      </c>
      <c r="H47" s="30">
        <f t="shared" si="21"/>
        <v>2297156.355839998</v>
      </c>
      <c r="I47" s="30">
        <f t="shared" si="21"/>
        <v>2598978.8402672475</v>
      </c>
      <c r="J47" s="30">
        <f t="shared" si="21"/>
        <v>3060894.1614001263</v>
      </c>
      <c r="K47" s="30">
        <f t="shared" si="21"/>
        <v>3573009.0586050376</v>
      </c>
      <c r="L47" s="30">
        <f t="shared" si="21"/>
        <v>4150230.4996538553</v>
      </c>
      <c r="M47" s="30">
        <f t="shared" si="21"/>
        <v>4903314.2319354797</v>
      </c>
      <c r="N47" s="30">
        <f t="shared" si="21"/>
        <v>5727142.3590492215</v>
      </c>
      <c r="O47" s="8"/>
    </row>
    <row r="48" spans="1:15" x14ac:dyDescent="0.2">
      <c r="A48" s="24" t="s">
        <v>37</v>
      </c>
      <c r="B48" s="100"/>
      <c r="C48" s="97">
        <v>-39476</v>
      </c>
      <c r="D48" s="97">
        <v>-515413</v>
      </c>
      <c r="E48" s="97">
        <v>17384</v>
      </c>
      <c r="F48" s="97">
        <v>-486523</v>
      </c>
      <c r="G48" s="97">
        <v>-439489</v>
      </c>
      <c r="H48" s="97">
        <f>G48*1.09172</f>
        <v>-479798.93108000001</v>
      </c>
      <c r="I48" s="97">
        <f t="shared" ref="I48:N48" si="22">H48*1.09172</f>
        <v>-523806.08903865761</v>
      </c>
      <c r="J48" s="97">
        <f t="shared" si="22"/>
        <v>-571849.58352528326</v>
      </c>
      <c r="K48" s="97">
        <f t="shared" si="22"/>
        <v>-624299.62732622225</v>
      </c>
      <c r="L48" s="97">
        <f t="shared" si="22"/>
        <v>-681560.38914458337</v>
      </c>
      <c r="M48" s="97">
        <f t="shared" si="22"/>
        <v>-744073.10803692462</v>
      </c>
      <c r="N48" s="97">
        <f t="shared" si="22"/>
        <v>-812319.49350607139</v>
      </c>
      <c r="O48" s="10"/>
    </row>
    <row r="49" spans="1:38" x14ac:dyDescent="0.2">
      <c r="A49" s="24" t="s">
        <v>40</v>
      </c>
      <c r="B49" s="100"/>
      <c r="C49" s="97">
        <v>-585097</v>
      </c>
      <c r="D49" s="97">
        <f>-847597</f>
        <v>-847597</v>
      </c>
      <c r="E49" s="97">
        <v>-1013027</v>
      </c>
      <c r="F49" s="97">
        <v>-1310290</v>
      </c>
      <c r="G49" s="97">
        <v>-1089355</v>
      </c>
      <c r="H49" s="97">
        <v>-1221289</v>
      </c>
      <c r="I49" s="97">
        <f t="shared" ref="I49:N49" si="23">H49*1.0537</f>
        <v>-1286872.2193</v>
      </c>
      <c r="J49" s="97">
        <f t="shared" si="23"/>
        <v>-1355977.2574764101</v>
      </c>
      <c r="K49" s="97">
        <f t="shared" si="23"/>
        <v>-1428793.2362028935</v>
      </c>
      <c r="L49" s="97">
        <f t="shared" si="23"/>
        <v>-1505519.4329869892</v>
      </c>
      <c r="M49" s="97">
        <f t="shared" si="23"/>
        <v>-1586365.8265383905</v>
      </c>
      <c r="N49" s="97">
        <f t="shared" si="23"/>
        <v>-1671553.6714235023</v>
      </c>
      <c r="O49" s="10"/>
    </row>
    <row r="50" spans="1:38" x14ac:dyDescent="0.2">
      <c r="A50" s="94" t="s">
        <v>36</v>
      </c>
      <c r="B50" s="7"/>
      <c r="C50" s="31">
        <f t="shared" ref="C50:N50" si="24">SUM(C47:C49)</f>
        <v>417562.27688977378</v>
      </c>
      <c r="D50" s="31">
        <f t="shared" si="24"/>
        <v>44484.633867660537</v>
      </c>
      <c r="E50" s="31">
        <f t="shared" si="24"/>
        <v>575992.67839999823</v>
      </c>
      <c r="F50" s="31">
        <f t="shared" si="24"/>
        <v>-55344.24699930707</v>
      </c>
      <c r="G50" s="31">
        <f t="shared" si="24"/>
        <v>527228.23479000013</v>
      </c>
      <c r="H50" s="31">
        <f t="shared" si="24"/>
        <v>596068.42475999799</v>
      </c>
      <c r="I50" s="31">
        <f t="shared" si="24"/>
        <v>788300.53192859003</v>
      </c>
      <c r="J50" s="31">
        <f t="shared" si="24"/>
        <v>1133067.3203984329</v>
      </c>
      <c r="K50" s="31">
        <f t="shared" si="24"/>
        <v>1519916.1950759219</v>
      </c>
      <c r="L50" s="31">
        <f t="shared" si="24"/>
        <v>1963150.6775222826</v>
      </c>
      <c r="M50" s="31">
        <f t="shared" si="24"/>
        <v>2572875.2973601646</v>
      </c>
      <c r="N50" s="31">
        <f t="shared" si="24"/>
        <v>3243269.1941196481</v>
      </c>
      <c r="O50" s="2"/>
    </row>
    <row r="51" spans="1:38" x14ac:dyDescent="0.2">
      <c r="A51" s="94"/>
      <c r="B51" s="7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</row>
    <row r="52" spans="1:38" x14ac:dyDescent="0.2">
      <c r="A52" s="94" t="s">
        <v>44</v>
      </c>
      <c r="B52" s="101"/>
      <c r="C52" s="29">
        <f>C16/C12</f>
        <v>7.3509973407576146E-2</v>
      </c>
      <c r="D52" s="29">
        <f t="shared" ref="D52:N52" si="25">D16/D12</f>
        <v>7.4357274944963053E-2</v>
      </c>
      <c r="E52" s="29">
        <f t="shared" si="25"/>
        <v>7.2371734927891562E-2</v>
      </c>
      <c r="F52" s="29">
        <f t="shared" si="25"/>
        <v>7.6125314488615495E-2</v>
      </c>
      <c r="G52" s="29">
        <f t="shared" si="25"/>
        <v>7.8353206602223793E-2</v>
      </c>
      <c r="H52" s="29">
        <f t="shared" si="25"/>
        <v>8.0188428746552604E-2</v>
      </c>
      <c r="I52" s="29">
        <f t="shared" si="25"/>
        <v>8.146873769490344E-2</v>
      </c>
      <c r="J52" s="29">
        <f t="shared" si="25"/>
        <v>8.2747264548905242E-2</v>
      </c>
      <c r="K52" s="29">
        <f t="shared" si="25"/>
        <v>8.4024011789100378E-2</v>
      </c>
      <c r="L52" s="29">
        <f t="shared" si="25"/>
        <v>8.5298981892578049E-2</v>
      </c>
      <c r="M52" s="29">
        <f t="shared" si="25"/>
        <v>8.6572177332979727E-2</v>
      </c>
      <c r="N52" s="29">
        <f t="shared" si="25"/>
        <v>8.7843600580503764E-2</v>
      </c>
      <c r="O52" s="29"/>
      <c r="P52" s="29"/>
      <c r="Q52" s="33"/>
      <c r="R52" s="33"/>
      <c r="S52" s="29"/>
      <c r="T52" s="29"/>
      <c r="U52" s="29"/>
      <c r="V52" s="33"/>
      <c r="W52" s="33"/>
      <c r="X52" s="29"/>
      <c r="Y52" s="29"/>
      <c r="Z52" s="29"/>
      <c r="AA52" s="33"/>
      <c r="AB52" s="33"/>
      <c r="AC52" s="24"/>
      <c r="AD52" s="10"/>
      <c r="AE52" s="10"/>
      <c r="AF52" s="10"/>
      <c r="AG52" s="10"/>
      <c r="AH52" s="10"/>
      <c r="AI52" s="10"/>
      <c r="AJ52" s="10"/>
      <c r="AK52" s="10"/>
      <c r="AL52" s="10"/>
    </row>
    <row r="53" spans="1:38" x14ac:dyDescent="0.2">
      <c r="A53" s="94" t="s">
        <v>45</v>
      </c>
      <c r="B53" s="101"/>
      <c r="C53" s="29">
        <f>C26/C12</f>
        <v>2.5487926473875867E-2</v>
      </c>
      <c r="D53" s="29">
        <f t="shared" ref="D53:N53" si="26">D26/D12</f>
        <v>3.1177705901260455E-2</v>
      </c>
      <c r="E53" s="29">
        <f t="shared" si="26"/>
        <v>2.9838883513853054E-2</v>
      </c>
      <c r="F53" s="29">
        <f t="shared" si="26"/>
        <v>3.1704528941345782E-2</v>
      </c>
      <c r="G53" s="29">
        <f t="shared" si="26"/>
        <v>3.5182541212421023E-2</v>
      </c>
      <c r="H53" s="29">
        <f t="shared" si="26"/>
        <v>3.3757351478208186E-2</v>
      </c>
      <c r="I53" s="29">
        <f t="shared" si="26"/>
        <v>3.4476418268102105E-2</v>
      </c>
      <c r="J53" s="29">
        <f t="shared" si="26"/>
        <v>3.7106256243467806E-2</v>
      </c>
      <c r="K53" s="29">
        <f t="shared" si="26"/>
        <v>3.8918723559233141E-2</v>
      </c>
      <c r="L53" s="29">
        <f t="shared" si="26"/>
        <v>4.0891143472968718E-2</v>
      </c>
      <c r="M53" s="29">
        <f t="shared" si="26"/>
        <v>4.333009279230008E-2</v>
      </c>
      <c r="N53" s="29">
        <f t="shared" si="26"/>
        <v>4.5098291975911302E-2</v>
      </c>
      <c r="O53" s="29"/>
      <c r="P53" s="29"/>
      <c r="Q53" s="33"/>
      <c r="R53" s="33"/>
      <c r="S53" s="29"/>
      <c r="T53" s="29"/>
      <c r="U53" s="29"/>
      <c r="V53" s="33"/>
      <c r="W53" s="33"/>
      <c r="X53" s="29"/>
      <c r="Y53" s="29"/>
      <c r="Z53" s="29"/>
      <c r="AA53" s="33"/>
      <c r="AB53" s="33"/>
      <c r="AC53" s="24"/>
      <c r="AD53" s="10"/>
      <c r="AE53" s="10"/>
      <c r="AF53" s="10"/>
      <c r="AG53" s="10"/>
      <c r="AH53" s="10"/>
      <c r="AI53" s="10"/>
      <c r="AJ53" s="10"/>
      <c r="AK53" s="10"/>
      <c r="AL53" s="10"/>
    </row>
    <row r="54" spans="1:38" x14ac:dyDescent="0.2">
      <c r="A54" s="94" t="s">
        <v>46</v>
      </c>
      <c r="B54" s="101"/>
      <c r="C54" s="29">
        <f>C40/C12</f>
        <v>3.963361873618302E-2</v>
      </c>
      <c r="D54" s="29">
        <f t="shared" ref="D54:N54" si="27">D40/D12</f>
        <v>4.1814359938069277E-2</v>
      </c>
      <c r="E54" s="29">
        <f t="shared" si="27"/>
        <v>4.1320252386995139E-2</v>
      </c>
      <c r="F54" s="29">
        <f t="shared" si="27"/>
        <v>4.4697235815033959E-2</v>
      </c>
      <c r="G54" s="29">
        <f t="shared" si="27"/>
        <v>4.7221608845148824E-2</v>
      </c>
      <c r="H54" s="29">
        <f t="shared" si="27"/>
        <v>4.6075112475502174E-2</v>
      </c>
      <c r="I54" s="29">
        <f t="shared" si="27"/>
        <v>4.6866828109709595E-2</v>
      </c>
      <c r="J54" s="29">
        <f t="shared" si="27"/>
        <v>4.8056910044631175E-2</v>
      </c>
      <c r="K54" s="29">
        <f t="shared" si="27"/>
        <v>5.009357928712501E-2</v>
      </c>
      <c r="L54" s="29">
        <f t="shared" si="27"/>
        <v>5.2005791564476232E-2</v>
      </c>
      <c r="M54" s="29">
        <f t="shared" si="27"/>
        <v>5.3682310791173665E-2</v>
      </c>
      <c r="N54" s="29">
        <f t="shared" si="27"/>
        <v>5.49860838746025E-2</v>
      </c>
      <c r="O54" s="29"/>
      <c r="P54" s="29"/>
      <c r="Q54" s="33"/>
      <c r="R54" s="33"/>
      <c r="S54" s="29"/>
      <c r="T54" s="29"/>
      <c r="U54" s="29"/>
      <c r="V54" s="33"/>
      <c r="W54" s="33"/>
      <c r="X54" s="29"/>
      <c r="Y54" s="29"/>
      <c r="Z54" s="29"/>
      <c r="AA54" s="33"/>
      <c r="AB54" s="33"/>
      <c r="AC54" s="24"/>
      <c r="AD54" s="10"/>
      <c r="AE54" s="10"/>
      <c r="AF54" s="10"/>
      <c r="AG54" s="10"/>
      <c r="AH54" s="10"/>
      <c r="AI54" s="10"/>
      <c r="AJ54" s="10"/>
      <c r="AK54" s="10"/>
      <c r="AL54" s="10"/>
    </row>
    <row r="55" spans="1:38" x14ac:dyDescent="0.2">
      <c r="A55" s="94" t="s">
        <v>82</v>
      </c>
      <c r="B55" s="94"/>
      <c r="C55" s="94"/>
      <c r="D55" s="94"/>
      <c r="E55" s="94"/>
      <c r="F55" s="94"/>
      <c r="G55" s="94"/>
      <c r="H55" s="94"/>
      <c r="I55" s="31">
        <f>I50</f>
        <v>788300.53192859003</v>
      </c>
      <c r="J55" s="31">
        <f>J50/1.0881</f>
        <v>1041326.4593313417</v>
      </c>
      <c r="K55" s="31">
        <f>K50/1.1839</f>
        <v>1283821.4334622198</v>
      </c>
      <c r="L55" s="31">
        <f>L50/1.288269</f>
        <v>1523867.0475826729</v>
      </c>
      <c r="M55" s="31">
        <f>M50/1.401765</f>
        <v>1835454.0863555337</v>
      </c>
      <c r="N55" s="31">
        <f>N50/1.525261</f>
        <v>2126369.9747909689</v>
      </c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23"/>
      <c r="AD55" s="26"/>
      <c r="AE55" s="26"/>
      <c r="AF55" s="26"/>
      <c r="AG55" s="26"/>
      <c r="AH55" s="26"/>
      <c r="AI55" s="26"/>
      <c r="AJ55" s="26"/>
      <c r="AK55" s="26"/>
      <c r="AL55" s="26"/>
    </row>
    <row r="56" spans="1:38" x14ac:dyDescent="0.2">
      <c r="A56" s="94" t="s">
        <v>85</v>
      </c>
      <c r="B56" s="94"/>
      <c r="C56" s="94"/>
      <c r="D56" s="94"/>
      <c r="E56" s="94"/>
      <c r="F56" s="94"/>
      <c r="G56" s="94"/>
      <c r="H56" s="94"/>
      <c r="I56" s="31"/>
      <c r="J56" s="31"/>
      <c r="K56" s="31"/>
      <c r="L56" s="31"/>
      <c r="M56" s="31"/>
      <c r="N56" s="31">
        <f>SUM(I55:N55)</f>
        <v>8599139.5334513262</v>
      </c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23"/>
      <c r="AD56" s="26"/>
      <c r="AE56" s="26"/>
      <c r="AF56" s="26"/>
      <c r="AG56" s="26"/>
      <c r="AH56" s="26"/>
      <c r="AI56" s="26"/>
      <c r="AJ56" s="26"/>
      <c r="AK56" s="26"/>
      <c r="AL56" s="26"/>
    </row>
    <row r="57" spans="1:38" x14ac:dyDescent="0.2">
      <c r="A57" s="94" t="s">
        <v>83</v>
      </c>
      <c r="B57" s="94"/>
      <c r="C57" s="94"/>
      <c r="D57" s="94"/>
      <c r="E57" s="94"/>
      <c r="F57" s="94"/>
      <c r="G57" s="94"/>
      <c r="H57" s="94"/>
      <c r="I57" s="31"/>
      <c r="J57" s="31"/>
      <c r="K57" s="31"/>
      <c r="L57" s="31"/>
      <c r="M57" s="31"/>
      <c r="N57" s="31">
        <f>N55*(1.01)/0.0781</f>
        <v>27498510.55747604</v>
      </c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23"/>
      <c r="AD57" s="26"/>
      <c r="AE57" s="26"/>
      <c r="AF57" s="26"/>
      <c r="AG57" s="26"/>
      <c r="AH57" s="26"/>
      <c r="AI57" s="26"/>
      <c r="AJ57" s="26"/>
      <c r="AK57" s="26"/>
      <c r="AL57" s="26"/>
    </row>
    <row r="58" spans="1:38" x14ac:dyDescent="0.2">
      <c r="A58" s="94" t="s">
        <v>86</v>
      </c>
      <c r="B58" s="94"/>
      <c r="C58" s="94"/>
      <c r="D58" s="94"/>
      <c r="E58" s="94"/>
      <c r="F58" s="94"/>
      <c r="G58" s="94"/>
      <c r="H58" s="94"/>
      <c r="I58" s="31"/>
      <c r="J58" s="31"/>
      <c r="K58" s="31"/>
      <c r="L58" s="31"/>
      <c r="M58" s="31"/>
      <c r="N58" s="31">
        <v>-8438542</v>
      </c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23"/>
      <c r="AD58" s="26"/>
      <c r="AE58" s="26"/>
      <c r="AF58" s="26"/>
      <c r="AG58" s="26"/>
      <c r="AH58" s="26"/>
      <c r="AI58" s="26"/>
      <c r="AJ58" s="26"/>
      <c r="AK58" s="26"/>
      <c r="AL58" s="26"/>
    </row>
    <row r="59" spans="1:38" x14ac:dyDescent="0.2">
      <c r="A59" s="94" t="s">
        <v>84</v>
      </c>
      <c r="B59" s="94"/>
      <c r="C59" s="94"/>
      <c r="D59" s="94"/>
      <c r="E59" s="94"/>
      <c r="F59" s="94"/>
      <c r="G59" s="94"/>
      <c r="H59" s="94"/>
      <c r="I59" s="31"/>
      <c r="J59" s="31"/>
      <c r="K59" s="31"/>
      <c r="L59" s="31"/>
      <c r="M59" s="31"/>
      <c r="N59" s="31">
        <f>N56+N57+N58</f>
        <v>27659108.090927362</v>
      </c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23"/>
      <c r="AD59" s="26"/>
      <c r="AE59" s="26"/>
      <c r="AF59" s="26"/>
      <c r="AG59" s="26"/>
      <c r="AH59" s="26"/>
      <c r="AI59" s="26"/>
      <c r="AJ59" s="26"/>
      <c r="AK59" s="26"/>
      <c r="AL59" s="26"/>
    </row>
    <row r="60" spans="1:38" x14ac:dyDescent="0.2">
      <c r="A60" s="59"/>
    </row>
    <row r="61" spans="1:38" x14ac:dyDescent="0.2">
      <c r="A61" t="s">
        <v>20</v>
      </c>
    </row>
    <row r="62" spans="1:38" x14ac:dyDescent="0.2">
      <c r="A62" t="s">
        <v>80</v>
      </c>
      <c r="C62" s="11">
        <v>0.1086</v>
      </c>
      <c r="D62">
        <v>0.53</v>
      </c>
      <c r="E62" s="11">
        <v>0.19</v>
      </c>
      <c r="F62" s="11">
        <v>0.1086</v>
      </c>
    </row>
    <row r="63" spans="1:38" x14ac:dyDescent="0.2">
      <c r="A63" t="s">
        <v>21</v>
      </c>
    </row>
    <row r="64" spans="1:38" x14ac:dyDescent="0.2">
      <c r="A64" t="s">
        <v>22</v>
      </c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x14ac:dyDescent="0.2">
      <c r="A65" t="s">
        <v>23</v>
      </c>
    </row>
    <row r="66" spans="1:14" x14ac:dyDescent="0.2">
      <c r="A66" t="s">
        <v>24</v>
      </c>
    </row>
    <row r="67" spans="1:14" x14ac:dyDescent="0.2">
      <c r="A67" t="s">
        <v>25</v>
      </c>
    </row>
    <row r="68" spans="1:14" x14ac:dyDescent="0.2"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spans="1:14" x14ac:dyDescent="0.2">
      <c r="C69" t="s">
        <v>81</v>
      </c>
    </row>
  </sheetData>
  <sheetProtection password="AF75" sheet="1"/>
  <mergeCells count="1">
    <mergeCell ref="C8:D8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L29 D46:N46 C46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showGridLines="0" workbookViewId="0"/>
  </sheetViews>
  <sheetFormatPr defaultRowHeight="12.75" x14ac:dyDescent="0.2"/>
  <cols>
    <col min="1" max="1" width="22.28515625" style="21" customWidth="1"/>
    <col min="2" max="2" width="8.28515625" style="21" customWidth="1"/>
    <col min="3" max="3" width="1.5703125" style="21" customWidth="1"/>
    <col min="4" max="4" width="1.42578125" style="21" customWidth="1"/>
    <col min="5" max="5" width="12.7109375" style="21" customWidth="1"/>
    <col min="6" max="6" width="12.42578125" style="21" customWidth="1"/>
    <col min="7" max="7" width="12.28515625" style="21" customWidth="1"/>
    <col min="8" max="8" width="12.140625" style="21" customWidth="1"/>
    <col min="9" max="9" width="11.7109375" style="21" customWidth="1"/>
    <col min="10" max="10" width="12.28515625" style="21" customWidth="1"/>
    <col min="11" max="11" width="12.85546875" style="21" customWidth="1"/>
    <col min="12" max="12" width="12.7109375" style="21" customWidth="1"/>
    <col min="13" max="13" width="11.85546875" style="21" customWidth="1"/>
    <col min="14" max="14" width="11.7109375" style="21" customWidth="1"/>
    <col min="15" max="15" width="12" style="21" customWidth="1"/>
    <col min="16" max="16" width="14.85546875" style="21" bestFit="1" customWidth="1"/>
    <col min="17" max="16384" width="9.140625" style="21"/>
  </cols>
  <sheetData>
    <row r="1" spans="1:16" x14ac:dyDescent="0.2">
      <c r="A1" s="13" t="s">
        <v>38</v>
      </c>
      <c r="B1" s="13"/>
      <c r="C1" s="13"/>
      <c r="D1" s="13"/>
      <c r="E1" s="13"/>
      <c r="F1" s="13"/>
      <c r="G1" s="13"/>
      <c r="H1" s="13"/>
      <c r="I1" s="13"/>
      <c r="J1" s="13"/>
    </row>
    <row r="2" spans="1:16" x14ac:dyDescent="0.2">
      <c r="A2" s="14"/>
      <c r="B2" s="14"/>
      <c r="C2" s="16"/>
      <c r="D2" s="16"/>
      <c r="E2" s="16"/>
      <c r="F2" s="16"/>
      <c r="G2" s="16"/>
      <c r="H2" s="16"/>
      <c r="I2" s="16"/>
      <c r="J2" s="16"/>
    </row>
    <row r="3" spans="1:16" x14ac:dyDescent="0.2">
      <c r="A3" s="13" t="s">
        <v>93</v>
      </c>
      <c r="B3" s="13"/>
      <c r="C3" s="13"/>
      <c r="D3" s="13"/>
      <c r="E3" s="13"/>
      <c r="F3" s="13"/>
      <c r="G3" s="13"/>
      <c r="H3" s="13"/>
      <c r="I3" s="13"/>
      <c r="J3" s="13"/>
    </row>
    <row r="4" spans="1:16" x14ac:dyDescent="0.2">
      <c r="A4" s="14"/>
      <c r="B4" s="14"/>
      <c r="C4" s="16"/>
      <c r="D4" s="16"/>
      <c r="E4" s="16"/>
      <c r="F4" s="16"/>
      <c r="G4" s="16"/>
      <c r="H4" s="16"/>
      <c r="I4" s="16"/>
      <c r="J4" s="16"/>
    </row>
    <row r="5" spans="1:16" x14ac:dyDescent="0.2">
      <c r="A5" s="13" t="s">
        <v>39</v>
      </c>
      <c r="B5" s="13"/>
      <c r="C5" s="13"/>
      <c r="D5" s="13"/>
      <c r="E5" s="13"/>
      <c r="F5" s="13"/>
      <c r="G5" s="13"/>
      <c r="H5" s="13"/>
      <c r="I5" s="13"/>
      <c r="J5" s="13"/>
    </row>
    <row r="6" spans="1:16" x14ac:dyDescent="0.2">
      <c r="A6" s="17"/>
      <c r="B6" s="17"/>
      <c r="C6" s="18"/>
      <c r="D6" s="18"/>
      <c r="E6" s="18"/>
      <c r="F6" s="18"/>
      <c r="G6" s="18"/>
      <c r="H6" s="18"/>
      <c r="I6" s="18"/>
      <c r="J6" s="18"/>
    </row>
    <row r="7" spans="1:16" x14ac:dyDescent="0.2">
      <c r="A7" s="102"/>
      <c r="B7" s="102"/>
      <c r="C7" s="19"/>
      <c r="D7" s="19"/>
      <c r="E7" s="107"/>
      <c r="F7" s="107"/>
      <c r="G7" s="107"/>
      <c r="H7" s="107"/>
      <c r="I7" s="107"/>
      <c r="J7" s="107"/>
    </row>
    <row r="8" spans="1:16" x14ac:dyDescent="0.2">
      <c r="A8" s="102"/>
      <c r="B8" s="102"/>
      <c r="C8" s="19"/>
      <c r="D8" s="19"/>
      <c r="E8" s="61" t="s">
        <v>87</v>
      </c>
      <c r="F8" s="61" t="s">
        <v>88</v>
      </c>
      <c r="G8" s="61" t="s">
        <v>89</v>
      </c>
      <c r="H8" s="61" t="s">
        <v>90</v>
      </c>
      <c r="I8" s="61" t="s">
        <v>91</v>
      </c>
      <c r="J8" s="61" t="s">
        <v>92</v>
      </c>
    </row>
    <row r="9" spans="1:16" x14ac:dyDescent="0.2">
      <c r="A9" s="20"/>
      <c r="B9" s="20"/>
      <c r="C9" s="20"/>
      <c r="D9" s="20"/>
      <c r="E9" s="20"/>
      <c r="F9" s="20"/>
      <c r="G9" s="20"/>
      <c r="H9" s="20"/>
      <c r="I9" s="20"/>
      <c r="J9" s="20"/>
    </row>
    <row r="10" spans="1:16" x14ac:dyDescent="0.2">
      <c r="A10" s="103" t="s">
        <v>94</v>
      </c>
      <c r="B10" s="20"/>
      <c r="C10" s="20"/>
      <c r="D10" s="20"/>
      <c r="E10" s="105">
        <v>1286872</v>
      </c>
      <c r="F10" s="105">
        <v>1355977</v>
      </c>
      <c r="G10" s="105">
        <v>1428793</v>
      </c>
      <c r="H10" s="105">
        <v>1505519</v>
      </c>
      <c r="I10" s="105">
        <v>1586366</v>
      </c>
      <c r="J10" s="104">
        <v>1671554</v>
      </c>
    </row>
    <row r="11" spans="1:16" x14ac:dyDescent="0.2">
      <c r="A11" s="103"/>
      <c r="B11" s="103"/>
      <c r="C11" s="103"/>
      <c r="D11" s="103"/>
      <c r="E11" s="106"/>
      <c r="F11" s="106"/>
      <c r="G11" s="106"/>
      <c r="H11" s="106"/>
      <c r="I11" s="106"/>
      <c r="J11" s="106"/>
    </row>
    <row r="12" spans="1:16" x14ac:dyDescent="0.2">
      <c r="A12" s="131"/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</row>
    <row r="13" spans="1:16" x14ac:dyDescent="0.2">
      <c r="A13" s="131"/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</row>
  </sheetData>
  <sheetProtection password="AF75" sheet="1"/>
  <mergeCells count="1">
    <mergeCell ref="A12:P13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showGridLines="0" workbookViewId="0">
      <pane xSplit="3" ySplit="9" topLeftCell="D18" activePane="bottomRight" state="frozen"/>
      <selection pane="topRight" activeCell="D1" sqref="D1"/>
      <selection pane="bottomLeft" activeCell="A15" sqref="A15"/>
      <selection pane="bottomRight" activeCell="I31" sqref="I31"/>
    </sheetView>
  </sheetViews>
  <sheetFormatPr defaultRowHeight="12.75" x14ac:dyDescent="0.2"/>
  <cols>
    <col min="2" max="2" width="24.5703125" customWidth="1"/>
    <col min="3" max="3" width="3.28515625" customWidth="1"/>
    <col min="4" max="4" width="3.7109375" customWidth="1"/>
    <col min="5" max="5" width="12.7109375" customWidth="1"/>
    <col min="6" max="7" width="13.5703125" customWidth="1"/>
    <col min="8" max="8" width="11" customWidth="1"/>
    <col min="9" max="9" width="11.140625" customWidth="1"/>
    <col min="10" max="10" width="11" customWidth="1"/>
  </cols>
  <sheetData>
    <row r="1" spans="1:13" x14ac:dyDescent="0.2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34"/>
      <c r="L1" s="34"/>
      <c r="M1" s="34"/>
    </row>
    <row r="2" spans="1:13" x14ac:dyDescent="0.2">
      <c r="A2" s="14"/>
      <c r="B2" s="14"/>
      <c r="C2" s="16"/>
      <c r="D2" s="16"/>
      <c r="E2" s="16"/>
      <c r="F2" s="16"/>
      <c r="G2" s="16"/>
      <c r="H2" s="16"/>
      <c r="I2" s="16"/>
      <c r="J2" s="16"/>
      <c r="K2" s="34"/>
      <c r="L2" s="34"/>
      <c r="M2" s="34"/>
    </row>
    <row r="3" spans="1:13" x14ac:dyDescent="0.2">
      <c r="A3" s="13" t="s">
        <v>79</v>
      </c>
      <c r="B3" s="13"/>
      <c r="C3" s="13"/>
      <c r="D3" s="13"/>
      <c r="E3" s="13"/>
      <c r="F3" s="13"/>
      <c r="G3" s="13"/>
      <c r="H3" s="13"/>
      <c r="I3" s="13"/>
      <c r="J3" s="13"/>
      <c r="K3" s="34"/>
      <c r="L3" s="34"/>
      <c r="M3" s="34"/>
    </row>
    <row r="4" spans="1:13" x14ac:dyDescent="0.2">
      <c r="A4" s="14"/>
      <c r="B4" s="14"/>
      <c r="C4" s="16"/>
      <c r="D4" s="16"/>
      <c r="E4" s="16"/>
      <c r="F4" s="16"/>
      <c r="G4" s="16"/>
      <c r="H4" s="16"/>
      <c r="I4" s="16"/>
      <c r="J4" s="16"/>
      <c r="K4" s="34"/>
      <c r="L4" s="34"/>
      <c r="M4" s="34"/>
    </row>
    <row r="5" spans="1:13" x14ac:dyDescent="0.2">
      <c r="A5" s="13" t="s">
        <v>16</v>
      </c>
      <c r="B5" s="13"/>
      <c r="C5" s="13"/>
      <c r="D5" s="13"/>
      <c r="E5" s="13"/>
      <c r="F5" s="13"/>
      <c r="G5" s="13"/>
      <c r="H5" s="13"/>
      <c r="I5" s="13"/>
      <c r="J5" s="13"/>
      <c r="K5" s="34"/>
      <c r="L5" s="34"/>
      <c r="M5" s="34"/>
    </row>
    <row r="6" spans="1:13" x14ac:dyDescent="0.2">
      <c r="A6" s="55"/>
      <c r="B6" s="54"/>
      <c r="C6" s="54"/>
      <c r="D6" s="54"/>
      <c r="E6" s="54"/>
      <c r="F6" s="54"/>
      <c r="G6" s="54"/>
      <c r="H6" s="16"/>
      <c r="I6" s="16"/>
      <c r="J6" s="16"/>
      <c r="K6" s="34"/>
      <c r="L6" s="34"/>
      <c r="M6" s="34"/>
    </row>
    <row r="7" spans="1:13" x14ac:dyDescent="0.2">
      <c r="A7" s="60"/>
      <c r="B7" s="60"/>
      <c r="C7" s="53"/>
      <c r="D7" s="51"/>
      <c r="E7" s="130"/>
      <c r="F7" s="130"/>
      <c r="G7" s="61"/>
      <c r="H7" s="60"/>
      <c r="I7" s="60"/>
      <c r="J7" s="60"/>
      <c r="K7" s="35"/>
      <c r="L7" s="35"/>
      <c r="M7" s="35"/>
    </row>
    <row r="8" spans="1:13" x14ac:dyDescent="0.2">
      <c r="A8" s="61"/>
      <c r="B8" s="61"/>
      <c r="C8" s="51"/>
      <c r="D8" s="51"/>
      <c r="E8" s="61">
        <v>2009</v>
      </c>
      <c r="F8" s="61">
        <v>2010</v>
      </c>
      <c r="G8" s="61">
        <v>2011</v>
      </c>
      <c r="H8" s="61">
        <v>2012</v>
      </c>
      <c r="I8" s="61">
        <v>2013</v>
      </c>
      <c r="J8" s="61">
        <v>2014</v>
      </c>
      <c r="K8" s="34"/>
      <c r="L8" s="34"/>
      <c r="M8" s="34"/>
    </row>
    <row r="9" spans="1:13" x14ac:dyDescent="0.2">
      <c r="A9" s="52"/>
      <c r="B9" s="51"/>
      <c r="C9" s="51"/>
      <c r="D9" s="51"/>
      <c r="E9" s="51"/>
      <c r="F9" s="51"/>
      <c r="G9" s="51"/>
      <c r="H9" s="51"/>
      <c r="I9" s="51"/>
      <c r="J9" s="51"/>
      <c r="K9" s="34"/>
      <c r="L9" s="34"/>
      <c r="M9" s="34"/>
    </row>
    <row r="10" spans="1:13" x14ac:dyDescent="0.2">
      <c r="A10" s="62"/>
      <c r="B10" s="63"/>
      <c r="C10" s="63"/>
      <c r="D10" s="64"/>
      <c r="E10" s="64"/>
      <c r="F10" s="65"/>
      <c r="G10" s="65"/>
      <c r="H10" s="64"/>
      <c r="I10" s="64"/>
      <c r="J10" s="64"/>
      <c r="K10" s="42"/>
      <c r="L10" s="42"/>
      <c r="M10" s="42"/>
    </row>
    <row r="11" spans="1:13" x14ac:dyDescent="0.2">
      <c r="A11" s="66" t="s">
        <v>78</v>
      </c>
      <c r="B11" s="67"/>
      <c r="C11" s="67"/>
      <c r="D11" s="68"/>
      <c r="E11" s="30"/>
      <c r="F11" s="31"/>
      <c r="G11" s="31"/>
      <c r="H11" s="50"/>
      <c r="I11" s="50"/>
      <c r="J11" s="50"/>
      <c r="K11" s="42"/>
      <c r="L11" s="42"/>
      <c r="M11" s="42"/>
    </row>
    <row r="12" spans="1:13" x14ac:dyDescent="0.2">
      <c r="A12" s="69" t="s">
        <v>49</v>
      </c>
      <c r="B12" s="63"/>
      <c r="C12" s="67"/>
      <c r="D12" s="68"/>
      <c r="E12" s="32">
        <v>2327756.355</v>
      </c>
      <c r="F12" s="32">
        <v>3200627</v>
      </c>
      <c r="G12" s="32">
        <v>2707889.5643600002</v>
      </c>
      <c r="H12" s="50">
        <v>2982298.2166750003</v>
      </c>
      <c r="I12" s="50">
        <v>3425200.7922700001</v>
      </c>
      <c r="J12" s="50">
        <v>4269181.5522499997</v>
      </c>
      <c r="K12" s="37"/>
      <c r="L12" s="36"/>
      <c r="M12" s="42"/>
    </row>
    <row r="13" spans="1:13" x14ac:dyDescent="0.2">
      <c r="A13" s="69" t="s">
        <v>74</v>
      </c>
      <c r="B13" s="70"/>
      <c r="C13" s="71"/>
      <c r="D13" s="16"/>
      <c r="E13" s="32">
        <v>1618283.4835346329</v>
      </c>
      <c r="F13" s="32">
        <v>1715709</v>
      </c>
      <c r="G13" s="32">
        <v>2026416.9426299999</v>
      </c>
      <c r="H13" s="50">
        <v>2306521.14585</v>
      </c>
      <c r="I13" s="41">
        <v>2321536.5363399992</v>
      </c>
      <c r="J13" s="41">
        <v>2604100.8391300002</v>
      </c>
      <c r="K13" s="37"/>
      <c r="L13" s="36"/>
      <c r="M13" s="15"/>
    </row>
    <row r="14" spans="1:13" x14ac:dyDescent="0.2">
      <c r="A14" s="69" t="s">
        <v>77</v>
      </c>
      <c r="B14" s="71"/>
      <c r="C14" s="71"/>
      <c r="D14" s="16"/>
      <c r="E14" s="32">
        <v>942181</v>
      </c>
      <c r="F14" s="32">
        <v>1133537</v>
      </c>
      <c r="G14" s="32">
        <v>1310131.8669499999</v>
      </c>
      <c r="H14" s="50">
        <v>1290693.9709649996</v>
      </c>
      <c r="I14" s="41">
        <v>1592513.4407199996</v>
      </c>
      <c r="J14" s="41">
        <v>1925002.1884099997</v>
      </c>
      <c r="K14" s="37"/>
      <c r="L14" s="36"/>
      <c r="M14" s="15"/>
    </row>
    <row r="15" spans="1:13" x14ac:dyDescent="0.2">
      <c r="A15" s="69" t="s">
        <v>64</v>
      </c>
      <c r="B15" s="70"/>
      <c r="C15" s="71"/>
      <c r="D15" s="16"/>
      <c r="E15" s="32">
        <v>320161</v>
      </c>
      <c r="F15" s="32">
        <v>354317</v>
      </c>
      <c r="G15" s="32">
        <v>470510.77392000001</v>
      </c>
      <c r="H15" s="50">
        <v>477958.85398999997</v>
      </c>
      <c r="I15" s="41">
        <v>479975.16718999983</v>
      </c>
      <c r="J15" s="41">
        <v>593462.04983999976</v>
      </c>
      <c r="K15" s="37"/>
      <c r="L15" s="36"/>
      <c r="M15" s="15"/>
    </row>
    <row r="16" spans="1:13" x14ac:dyDescent="0.2">
      <c r="A16" s="69" t="s">
        <v>53</v>
      </c>
      <c r="B16" s="71"/>
      <c r="C16" s="71"/>
      <c r="D16" s="16"/>
      <c r="E16" s="32">
        <v>61341</v>
      </c>
      <c r="F16" s="32">
        <v>53297</v>
      </c>
      <c r="G16" s="32">
        <v>60545.02882</v>
      </c>
      <c r="H16" s="50">
        <v>75565.468000000008</v>
      </c>
      <c r="I16" s="41">
        <v>84715.353040000002</v>
      </c>
      <c r="J16" s="41">
        <v>110610.22791999999</v>
      </c>
      <c r="K16" s="37"/>
      <c r="L16" s="36"/>
      <c r="M16" s="15"/>
    </row>
    <row r="17" spans="1:13" x14ac:dyDescent="0.2">
      <c r="A17" s="66" t="s">
        <v>76</v>
      </c>
      <c r="B17" s="71"/>
      <c r="C17" s="71"/>
      <c r="D17" s="16"/>
      <c r="E17" s="30">
        <v>5269722.8385346327</v>
      </c>
      <c r="F17" s="31">
        <v>6457487</v>
      </c>
      <c r="G17" s="31">
        <v>6575494.1766800005</v>
      </c>
      <c r="H17" s="72">
        <v>7133037.6554800002</v>
      </c>
      <c r="I17" s="49">
        <v>7903941.2895599985</v>
      </c>
      <c r="J17" s="49">
        <v>9502356.8575499989</v>
      </c>
      <c r="K17" s="37"/>
      <c r="L17" s="36"/>
      <c r="M17" s="15"/>
    </row>
    <row r="18" spans="1:13" x14ac:dyDescent="0.2">
      <c r="A18" s="73"/>
      <c r="B18" s="71"/>
      <c r="C18" s="71"/>
      <c r="D18" s="16"/>
      <c r="E18" s="74"/>
      <c r="F18" s="32"/>
      <c r="G18" s="32"/>
      <c r="H18" s="41"/>
      <c r="I18" s="41"/>
      <c r="J18" s="41"/>
      <c r="K18" s="37"/>
      <c r="L18" s="36"/>
      <c r="M18" s="15"/>
    </row>
    <row r="19" spans="1:13" x14ac:dyDescent="0.2">
      <c r="A19" s="69" t="s">
        <v>75</v>
      </c>
      <c r="B19" s="71"/>
      <c r="C19" s="71"/>
      <c r="D19" s="16"/>
      <c r="E19" s="74">
        <v>7193</v>
      </c>
      <c r="F19" s="32">
        <v>19750</v>
      </c>
      <c r="G19" s="32">
        <v>74437.273410000009</v>
      </c>
      <c r="H19" s="50">
        <v>149530.06947999998</v>
      </c>
      <c r="I19" s="41">
        <v>118498.49245999999</v>
      </c>
      <c r="J19" s="41">
        <v>130939.97753</v>
      </c>
      <c r="K19" s="37"/>
      <c r="L19" s="36"/>
      <c r="M19" s="15"/>
    </row>
    <row r="20" spans="1:13" x14ac:dyDescent="0.2">
      <c r="A20" s="69" t="s">
        <v>74</v>
      </c>
      <c r="B20" s="71"/>
      <c r="C20" s="71"/>
      <c r="D20" s="16"/>
      <c r="E20" s="74">
        <v>86376.560769331001</v>
      </c>
      <c r="F20" s="32">
        <v>96668</v>
      </c>
      <c r="G20" s="32">
        <v>117715.54129000001</v>
      </c>
      <c r="H20" s="50">
        <v>137359.19977000001</v>
      </c>
      <c r="I20" s="41">
        <v>124477.90805999996</v>
      </c>
      <c r="J20" s="41">
        <v>143806.21891999993</v>
      </c>
      <c r="K20" s="37"/>
      <c r="L20" s="36"/>
      <c r="M20" s="15"/>
    </row>
    <row r="21" spans="1:13" x14ac:dyDescent="0.2">
      <c r="A21" s="69" t="s">
        <v>73</v>
      </c>
      <c r="B21" s="70"/>
      <c r="C21" s="70"/>
      <c r="D21" s="75"/>
      <c r="E21" s="74">
        <v>697909.57649192191</v>
      </c>
      <c r="F21" s="32">
        <v>564397</v>
      </c>
      <c r="G21" s="32">
        <v>510134.03067000001</v>
      </c>
      <c r="H21" s="50">
        <v>469331.40811218572</v>
      </c>
      <c r="I21" s="41">
        <v>376131.72712999996</v>
      </c>
      <c r="J21" s="41">
        <v>462571.83016999997</v>
      </c>
      <c r="K21" s="37"/>
      <c r="L21" s="36"/>
      <c r="M21" s="48"/>
    </row>
    <row r="22" spans="1:13" x14ac:dyDescent="0.2">
      <c r="A22" s="69" t="s">
        <v>72</v>
      </c>
      <c r="B22" s="70"/>
      <c r="C22" s="70"/>
      <c r="D22" s="75"/>
      <c r="E22" s="74">
        <v>308538</v>
      </c>
      <c r="F22" s="32">
        <v>380749</v>
      </c>
      <c r="G22" s="32">
        <v>469380.84841999999</v>
      </c>
      <c r="H22" s="50">
        <v>533729.41581000003</v>
      </c>
      <c r="I22" s="41">
        <v>614911.60595999996</v>
      </c>
      <c r="J22" s="41">
        <v>696835.07412999996</v>
      </c>
      <c r="K22" s="37"/>
      <c r="L22" s="36"/>
      <c r="M22" s="48"/>
    </row>
    <row r="23" spans="1:13" x14ac:dyDescent="0.2">
      <c r="A23" s="69" t="s">
        <v>71</v>
      </c>
      <c r="B23" s="71"/>
      <c r="C23" s="71"/>
      <c r="D23" s="16"/>
      <c r="E23" s="74">
        <v>14746.361999999999</v>
      </c>
      <c r="F23" s="32">
        <v>15258</v>
      </c>
      <c r="G23" s="32">
        <v>15418.629040000002</v>
      </c>
      <c r="H23" s="50">
        <v>43693.05662999762</v>
      </c>
      <c r="I23" s="41">
        <v>58940.891479999998</v>
      </c>
      <c r="J23" s="41">
        <v>70464.204419999995</v>
      </c>
      <c r="K23" s="37"/>
      <c r="L23" s="36"/>
      <c r="M23" s="15"/>
    </row>
    <row r="24" spans="1:13" x14ac:dyDescent="0.2">
      <c r="A24" s="69" t="s">
        <v>70</v>
      </c>
      <c r="B24" s="71"/>
      <c r="C24" s="71"/>
      <c r="D24" s="16"/>
      <c r="E24" s="74">
        <v>4988192.8292925758</v>
      </c>
      <c r="F24" s="32">
        <v>5349315</v>
      </c>
      <c r="G24" s="32">
        <v>5818109.3042899994</v>
      </c>
      <c r="H24" s="50">
        <v>6632316.4371649995</v>
      </c>
      <c r="I24" s="41">
        <v>7028980.23477</v>
      </c>
      <c r="J24" s="41">
        <v>8250084.3915799996</v>
      </c>
      <c r="K24" s="37"/>
      <c r="L24" s="36"/>
      <c r="M24" s="15"/>
    </row>
    <row r="25" spans="1:13" x14ac:dyDescent="0.2">
      <c r="A25" s="69" t="s">
        <v>53</v>
      </c>
      <c r="B25" s="70"/>
      <c r="C25" s="71"/>
      <c r="D25" s="16"/>
      <c r="E25" s="74">
        <v>109947</v>
      </c>
      <c r="F25" s="32">
        <v>106219</v>
      </c>
      <c r="G25" s="32">
        <v>162049.41575000001</v>
      </c>
      <c r="H25" s="50">
        <v>150556.98920000004</v>
      </c>
      <c r="I25" s="41">
        <v>152663.0901</v>
      </c>
      <c r="J25" s="41">
        <v>223322.46800999995</v>
      </c>
      <c r="K25" s="37"/>
      <c r="L25" s="36"/>
      <c r="M25" s="15"/>
    </row>
    <row r="26" spans="1:13" x14ac:dyDescent="0.2">
      <c r="A26" s="66" t="s">
        <v>69</v>
      </c>
      <c r="B26" s="71"/>
      <c r="C26" s="71"/>
      <c r="D26" s="16"/>
      <c r="E26" s="31">
        <v>6212903.3285538284</v>
      </c>
      <c r="F26" s="31">
        <v>6532356</v>
      </c>
      <c r="G26" s="31">
        <v>7167245.0428699991</v>
      </c>
      <c r="H26" s="72">
        <v>8116516.576167183</v>
      </c>
      <c r="I26" s="49">
        <v>8474603.9499600008</v>
      </c>
      <c r="J26" s="49">
        <v>9978024.164760001</v>
      </c>
      <c r="K26" s="37"/>
      <c r="L26" s="36"/>
      <c r="M26" s="15"/>
    </row>
    <row r="27" spans="1:13" x14ac:dyDescent="0.2">
      <c r="A27" s="66"/>
      <c r="B27" s="71"/>
      <c r="C27" s="71"/>
      <c r="D27" s="16"/>
      <c r="E27" s="30"/>
      <c r="F27" s="31"/>
      <c r="G27" s="31"/>
      <c r="H27" s="41"/>
      <c r="I27" s="41"/>
      <c r="J27" s="41"/>
      <c r="K27" s="37"/>
      <c r="L27" s="36"/>
      <c r="M27" s="15"/>
    </row>
    <row r="28" spans="1:13" x14ac:dyDescent="0.2">
      <c r="A28" s="66" t="s">
        <v>68</v>
      </c>
      <c r="B28" s="70"/>
      <c r="C28" s="70"/>
      <c r="D28" s="75"/>
      <c r="E28" s="30">
        <v>11482626.16708846</v>
      </c>
      <c r="F28" s="31">
        <v>12989843</v>
      </c>
      <c r="G28" s="31">
        <v>13742739.219550001</v>
      </c>
      <c r="H28" s="72">
        <v>15249554.231647182</v>
      </c>
      <c r="I28" s="49">
        <v>16378545.239519998</v>
      </c>
      <c r="J28" s="49">
        <v>19480381.02231</v>
      </c>
      <c r="K28" s="37"/>
      <c r="L28" s="36"/>
      <c r="M28" s="48"/>
    </row>
    <row r="29" spans="1:13" x14ac:dyDescent="0.2">
      <c r="A29" s="66"/>
      <c r="B29" s="71"/>
      <c r="C29" s="71"/>
      <c r="D29" s="16"/>
      <c r="E29" s="74"/>
      <c r="F29" s="32"/>
      <c r="G29" s="32"/>
      <c r="H29" s="41"/>
      <c r="I29" s="41"/>
      <c r="J29" s="41"/>
      <c r="K29" s="37"/>
      <c r="L29" s="36"/>
      <c r="M29" s="15"/>
    </row>
    <row r="30" spans="1:13" x14ac:dyDescent="0.2">
      <c r="A30" s="66" t="s">
        <v>67</v>
      </c>
      <c r="B30" s="71"/>
      <c r="C30" s="71"/>
      <c r="D30" s="16"/>
      <c r="E30" s="32"/>
      <c r="F30" s="32"/>
      <c r="G30" s="32"/>
      <c r="H30" s="41"/>
      <c r="I30" s="41"/>
      <c r="J30" s="41"/>
      <c r="K30" s="37"/>
      <c r="L30" s="36"/>
      <c r="M30" s="15"/>
    </row>
    <row r="31" spans="1:13" x14ac:dyDescent="0.2">
      <c r="A31" s="69" t="s">
        <v>62</v>
      </c>
      <c r="B31" s="71"/>
      <c r="C31" s="71"/>
      <c r="D31" s="16"/>
      <c r="E31" s="74">
        <v>1144214.541</v>
      </c>
      <c r="F31" s="32">
        <v>820484</v>
      </c>
      <c r="G31" s="32">
        <v>2304998.23887</v>
      </c>
      <c r="H31" s="50">
        <v>1627955.0270399998</v>
      </c>
      <c r="I31" s="41">
        <v>1829989.21254</v>
      </c>
      <c r="J31" s="41">
        <v>3442364.7360399999</v>
      </c>
      <c r="K31" s="37"/>
      <c r="L31" s="36"/>
      <c r="M31" s="15"/>
    </row>
    <row r="32" spans="1:13" x14ac:dyDescent="0.2">
      <c r="A32" s="69" t="s">
        <v>66</v>
      </c>
      <c r="B32" s="71"/>
      <c r="C32" s="71"/>
      <c r="D32" s="16"/>
      <c r="E32" s="74">
        <v>891869</v>
      </c>
      <c r="F32" s="32">
        <v>941177</v>
      </c>
      <c r="G32" s="32">
        <v>1075102.83176</v>
      </c>
      <c r="H32" s="50">
        <v>1297734.59039</v>
      </c>
      <c r="I32" s="41">
        <v>968949.95596000017</v>
      </c>
      <c r="J32" s="41">
        <v>1279501.6136100003</v>
      </c>
      <c r="K32" s="37"/>
      <c r="L32" s="36"/>
      <c r="M32" s="15"/>
    </row>
    <row r="33" spans="1:13" x14ac:dyDescent="0.2">
      <c r="A33" s="69" t="s">
        <v>65</v>
      </c>
      <c r="B33" s="71"/>
      <c r="C33" s="71"/>
      <c r="D33" s="16"/>
      <c r="E33" s="74">
        <v>176490</v>
      </c>
      <c r="F33" s="32">
        <v>228215</v>
      </c>
      <c r="G33" s="32">
        <v>268344.88954</v>
      </c>
      <c r="H33" s="50">
        <v>252525.76164000007</v>
      </c>
      <c r="I33" s="41">
        <v>297653.94587000005</v>
      </c>
      <c r="J33" s="41">
        <v>294578.58389000007</v>
      </c>
      <c r="K33" s="37"/>
      <c r="L33" s="36"/>
      <c r="M33" s="15"/>
    </row>
    <row r="34" spans="1:13" x14ac:dyDescent="0.2">
      <c r="A34" s="69" t="s">
        <v>64</v>
      </c>
      <c r="B34" s="71"/>
      <c r="C34" s="71"/>
      <c r="D34" s="16"/>
      <c r="E34" s="74">
        <v>140470.50699999998</v>
      </c>
      <c r="F34" s="32">
        <v>234703</v>
      </c>
      <c r="G34" s="32">
        <v>148272.26647</v>
      </c>
      <c r="H34" s="50">
        <v>182908.15304499998</v>
      </c>
      <c r="I34" s="41">
        <v>230244.23203000001</v>
      </c>
      <c r="J34" s="41">
        <v>273233.98930000002</v>
      </c>
      <c r="K34" s="37"/>
      <c r="L34" s="36"/>
      <c r="M34" s="15"/>
    </row>
    <row r="35" spans="1:13" x14ac:dyDescent="0.2">
      <c r="A35" s="69" t="s">
        <v>53</v>
      </c>
      <c r="B35" s="71"/>
      <c r="C35" s="71"/>
      <c r="D35" s="16"/>
      <c r="E35" s="74">
        <v>213197.49073354801</v>
      </c>
      <c r="F35" s="32">
        <v>293350</v>
      </c>
      <c r="G35" s="32">
        <v>301057.29214999999</v>
      </c>
      <c r="H35" s="50">
        <v>360126.57485500007</v>
      </c>
      <c r="I35" s="41">
        <v>437655.29009000014</v>
      </c>
      <c r="J35" s="41">
        <v>402404.99789000012</v>
      </c>
      <c r="K35" s="37"/>
      <c r="L35" s="36"/>
      <c r="M35" s="15"/>
    </row>
    <row r="36" spans="1:13" x14ac:dyDescent="0.2">
      <c r="A36" s="66" t="s">
        <v>63</v>
      </c>
      <c r="B36" s="71"/>
      <c r="C36" s="71"/>
      <c r="D36" s="16"/>
      <c r="E36" s="30">
        <v>2566241.5387335485</v>
      </c>
      <c r="F36" s="31">
        <v>2517929</v>
      </c>
      <c r="G36" s="31">
        <v>4097775.5187900001</v>
      </c>
      <c r="H36" s="72">
        <v>3721250.1069700001</v>
      </c>
      <c r="I36" s="49">
        <v>3764492.6364900004</v>
      </c>
      <c r="J36" s="49">
        <v>5692083.9207300013</v>
      </c>
      <c r="K36" s="37"/>
      <c r="L36" s="36"/>
      <c r="M36" s="15"/>
    </row>
    <row r="37" spans="1:13" x14ac:dyDescent="0.2">
      <c r="A37" s="66"/>
      <c r="B37" s="71"/>
      <c r="C37" s="71"/>
      <c r="D37" s="16"/>
      <c r="E37" s="74"/>
      <c r="F37" s="32"/>
      <c r="G37" s="32"/>
      <c r="H37" s="41"/>
      <c r="I37" s="41"/>
      <c r="J37" s="41"/>
      <c r="K37" s="37"/>
      <c r="L37" s="36"/>
      <c r="M37" s="15"/>
    </row>
    <row r="38" spans="1:13" x14ac:dyDescent="0.2">
      <c r="A38" s="69" t="s">
        <v>62</v>
      </c>
      <c r="B38" s="71"/>
      <c r="C38" s="71"/>
      <c r="D38" s="16"/>
      <c r="E38" s="74">
        <v>3322510</v>
      </c>
      <c r="F38" s="32">
        <v>4575549</v>
      </c>
      <c r="G38" s="32">
        <v>3256635.1464300002</v>
      </c>
      <c r="H38" s="50">
        <v>4587896.7827999992</v>
      </c>
      <c r="I38" s="41">
        <v>5139637.7242300007</v>
      </c>
      <c r="J38" s="41">
        <v>4932848.1061400007</v>
      </c>
      <c r="K38" s="37"/>
      <c r="L38" s="36"/>
      <c r="M38" s="15"/>
    </row>
    <row r="39" spans="1:13" x14ac:dyDescent="0.2">
      <c r="A39" s="76" t="s">
        <v>61</v>
      </c>
      <c r="B39" s="71"/>
      <c r="C39" s="71"/>
      <c r="D39" s="16"/>
      <c r="E39" s="74">
        <v>540230.84898999997</v>
      </c>
      <c r="F39" s="32">
        <v>470505</v>
      </c>
      <c r="G39" s="32">
        <v>512787.84755000006</v>
      </c>
      <c r="H39" s="50">
        <v>550962.96556999988</v>
      </c>
      <c r="I39" s="41">
        <v>569713.58967999998</v>
      </c>
      <c r="J39" s="41">
        <v>623272.02034999989</v>
      </c>
      <c r="K39" s="37"/>
      <c r="L39" s="36"/>
      <c r="M39" s="15"/>
    </row>
    <row r="40" spans="1:13" x14ac:dyDescent="0.2">
      <c r="A40" s="76" t="s">
        <v>60</v>
      </c>
      <c r="B40" s="71"/>
      <c r="C40" s="71"/>
      <c r="D40" s="16"/>
      <c r="E40" s="74">
        <v>90080</v>
      </c>
      <c r="F40" s="32">
        <v>93162</v>
      </c>
      <c r="G40" s="32">
        <v>96750.656770000001</v>
      </c>
      <c r="H40" s="50">
        <v>118459.79757054626</v>
      </c>
      <c r="I40" s="41">
        <v>99373.999990000011</v>
      </c>
      <c r="J40" s="41">
        <v>108371.72497999998</v>
      </c>
      <c r="K40" s="37"/>
      <c r="L40" s="36"/>
      <c r="M40" s="15"/>
    </row>
    <row r="41" spans="1:13" x14ac:dyDescent="0.2">
      <c r="A41" s="69" t="s">
        <v>53</v>
      </c>
      <c r="B41" s="70"/>
      <c r="C41" s="71"/>
      <c r="D41" s="16"/>
      <c r="E41" s="74">
        <v>118312.14927632501</v>
      </c>
      <c r="F41" s="32">
        <v>157115</v>
      </c>
      <c r="G41" s="32">
        <v>201554.11964000002</v>
      </c>
      <c r="H41" s="50">
        <v>264906.34897000005</v>
      </c>
      <c r="I41" s="41">
        <v>258441.60516000004</v>
      </c>
      <c r="J41" s="41">
        <v>397211.13899000012</v>
      </c>
      <c r="K41" s="37"/>
      <c r="L41" s="36"/>
      <c r="M41" s="15"/>
    </row>
    <row r="42" spans="1:13" x14ac:dyDescent="0.2">
      <c r="A42" s="66" t="s">
        <v>59</v>
      </c>
      <c r="B42" s="70"/>
      <c r="C42" s="71"/>
      <c r="D42" s="16"/>
      <c r="E42" s="31">
        <v>4071132.9982663249</v>
      </c>
      <c r="F42" s="31">
        <v>5296331</v>
      </c>
      <c r="G42" s="31">
        <v>4067727.7703900002</v>
      </c>
      <c r="H42" s="72">
        <v>5522225.8949105451</v>
      </c>
      <c r="I42" s="49">
        <v>6067166.9190600011</v>
      </c>
      <c r="J42" s="49">
        <v>6061702.9904600009</v>
      </c>
      <c r="K42" s="37"/>
      <c r="L42" s="36"/>
      <c r="M42" s="15"/>
    </row>
    <row r="43" spans="1:13" x14ac:dyDescent="0.2">
      <c r="A43" s="66"/>
      <c r="B43" s="70"/>
      <c r="C43" s="71"/>
      <c r="D43" s="16"/>
      <c r="E43" s="25"/>
      <c r="F43" s="25"/>
      <c r="G43" s="25"/>
      <c r="H43" s="72"/>
      <c r="I43" s="49"/>
      <c r="J43" s="49"/>
      <c r="K43" s="37"/>
      <c r="L43" s="36"/>
      <c r="M43" s="15"/>
    </row>
    <row r="44" spans="1:13" x14ac:dyDescent="0.2">
      <c r="A44" s="66" t="s">
        <v>58</v>
      </c>
      <c r="B44" s="70"/>
      <c r="C44" s="70"/>
      <c r="D44" s="75"/>
      <c r="E44" s="30">
        <v>6637374.5369998738</v>
      </c>
      <c r="F44" s="31">
        <v>7814260</v>
      </c>
      <c r="G44" s="31">
        <v>8165503.2891800003</v>
      </c>
      <c r="H44" s="49">
        <v>9243476.0018805452</v>
      </c>
      <c r="I44" s="49">
        <v>9831659.5555500016</v>
      </c>
      <c r="J44" s="49">
        <v>11753786.911190003</v>
      </c>
      <c r="K44" s="37"/>
      <c r="L44" s="36"/>
      <c r="M44" s="48"/>
    </row>
    <row r="45" spans="1:13" x14ac:dyDescent="0.2">
      <c r="A45" s="66"/>
      <c r="B45" s="77"/>
      <c r="C45" s="47"/>
      <c r="D45" s="51"/>
      <c r="E45" s="30"/>
      <c r="F45" s="7"/>
      <c r="G45" s="7"/>
      <c r="H45" s="39"/>
      <c r="I45" s="39"/>
      <c r="J45" s="39"/>
      <c r="K45" s="37"/>
      <c r="L45" s="36"/>
      <c r="M45" s="34"/>
    </row>
    <row r="46" spans="1:13" x14ac:dyDescent="0.2">
      <c r="A46" s="66" t="s">
        <v>57</v>
      </c>
      <c r="B46" s="70"/>
      <c r="C46" s="46"/>
      <c r="D46" s="30"/>
      <c r="E46" s="25"/>
      <c r="F46" s="25"/>
      <c r="G46" s="25"/>
      <c r="H46" s="45"/>
      <c r="I46" s="45"/>
      <c r="J46" s="45"/>
      <c r="K46" s="37"/>
      <c r="L46" s="36"/>
      <c r="M46" s="42"/>
    </row>
    <row r="47" spans="1:13" x14ac:dyDescent="0.2">
      <c r="A47" s="69" t="s">
        <v>56</v>
      </c>
      <c r="B47" s="70"/>
      <c r="C47" s="43"/>
      <c r="D47" s="29"/>
      <c r="E47" s="32">
        <v>3696772.95732</v>
      </c>
      <c r="F47" s="32">
        <v>3696773</v>
      </c>
      <c r="G47" s="32">
        <v>3696772.95732</v>
      </c>
      <c r="H47" s="50">
        <v>3696772.95732</v>
      </c>
      <c r="I47" s="44">
        <v>3696772.95732</v>
      </c>
      <c r="J47" s="44">
        <v>3838686.1040000003</v>
      </c>
      <c r="K47" s="37"/>
      <c r="L47" s="36"/>
      <c r="M47" s="42"/>
    </row>
    <row r="48" spans="1:13" x14ac:dyDescent="0.2">
      <c r="A48" s="69" t="s">
        <v>55</v>
      </c>
      <c r="B48" s="70"/>
      <c r="C48" s="43"/>
      <c r="D48" s="29"/>
      <c r="E48" s="32">
        <v>1189600</v>
      </c>
      <c r="F48" s="32">
        <v>1529198</v>
      </c>
      <c r="G48" s="32">
        <v>1854520.7351599999</v>
      </c>
      <c r="H48" s="50">
        <v>2248513.58189</v>
      </c>
      <c r="I48" s="44">
        <v>2732985.20157</v>
      </c>
      <c r="J48" s="44">
        <v>3723013.64084</v>
      </c>
      <c r="K48" s="37"/>
      <c r="L48" s="36"/>
      <c r="M48" s="42"/>
    </row>
    <row r="49" spans="1:13" x14ac:dyDescent="0.2">
      <c r="A49" s="76" t="s">
        <v>54</v>
      </c>
      <c r="B49" s="70"/>
      <c r="C49" s="43"/>
      <c r="D49" s="29"/>
      <c r="E49" s="32">
        <v>-123720</v>
      </c>
      <c r="F49" s="32">
        <v>-119964</v>
      </c>
      <c r="G49" s="32">
        <v>-118234.30582000001</v>
      </c>
      <c r="H49" s="32">
        <v>-114884.61672999999</v>
      </c>
      <c r="I49" s="32">
        <v>-114884.61673000001</v>
      </c>
      <c r="J49" s="32">
        <v>-103017.92553000001</v>
      </c>
      <c r="K49" s="37"/>
      <c r="L49" s="36"/>
      <c r="M49" s="42"/>
    </row>
    <row r="50" spans="1:13" x14ac:dyDescent="0.2">
      <c r="A50" s="76" t="s">
        <v>53</v>
      </c>
      <c r="B50" s="78"/>
      <c r="C50" s="78"/>
      <c r="D50" s="79"/>
      <c r="E50" s="32">
        <v>47480</v>
      </c>
      <c r="F50" s="32">
        <v>47323</v>
      </c>
      <c r="G50" s="32">
        <v>118007.32477999998</v>
      </c>
      <c r="H50" s="50">
        <v>150194.95324663713</v>
      </c>
      <c r="I50" s="41">
        <v>205087.43189000001</v>
      </c>
      <c r="J50" s="41">
        <v>239315.89136000024</v>
      </c>
      <c r="K50" s="37"/>
      <c r="L50" s="36"/>
      <c r="M50" s="15"/>
    </row>
    <row r="51" spans="1:13" x14ac:dyDescent="0.2">
      <c r="A51" s="69" t="s">
        <v>52</v>
      </c>
      <c r="B51" s="77"/>
      <c r="C51" s="77"/>
      <c r="D51" s="51"/>
      <c r="E51" s="32">
        <v>35119</v>
      </c>
      <c r="F51" s="32">
        <v>22253</v>
      </c>
      <c r="G51" s="32">
        <v>26169.218939999999</v>
      </c>
      <c r="H51" s="50">
        <v>25481.354039999998</v>
      </c>
      <c r="I51" s="39">
        <v>26924.709920000001</v>
      </c>
      <c r="J51" s="39">
        <v>28596.400410000009</v>
      </c>
      <c r="K51" s="37"/>
      <c r="L51" s="36"/>
      <c r="M51" s="34"/>
    </row>
    <row r="52" spans="1:13" x14ac:dyDescent="0.2">
      <c r="A52" s="66" t="s">
        <v>51</v>
      </c>
      <c r="B52" s="80"/>
      <c r="C52" s="80"/>
      <c r="D52" s="52"/>
      <c r="E52" s="31">
        <v>4845251.95732</v>
      </c>
      <c r="F52" s="56">
        <v>5175583</v>
      </c>
      <c r="G52" s="56">
        <v>5577235.9303799998</v>
      </c>
      <c r="H52" s="49">
        <v>6006078.2297666371</v>
      </c>
      <c r="I52" s="40">
        <v>6546885.6839699997</v>
      </c>
      <c r="J52" s="40">
        <v>7726594.1110800002</v>
      </c>
      <c r="K52" s="37"/>
      <c r="L52" s="36"/>
      <c r="M52" s="35"/>
    </row>
    <row r="53" spans="1:13" x14ac:dyDescent="0.2">
      <c r="A53" s="66"/>
      <c r="B53" s="77"/>
      <c r="C53" s="77"/>
      <c r="D53" s="51"/>
      <c r="E53" s="32"/>
      <c r="F53" s="28"/>
      <c r="G53" s="28"/>
      <c r="H53" s="39"/>
      <c r="I53" s="39"/>
      <c r="J53" s="39"/>
      <c r="K53" s="37"/>
      <c r="L53" s="36"/>
      <c r="M53" s="34"/>
    </row>
    <row r="54" spans="1:13" x14ac:dyDescent="0.2">
      <c r="A54" s="66" t="s">
        <v>50</v>
      </c>
      <c r="B54" s="52"/>
      <c r="C54" s="52"/>
      <c r="D54" s="52"/>
      <c r="E54" s="31">
        <v>11482626.494319875</v>
      </c>
      <c r="F54" s="56">
        <v>12989843</v>
      </c>
      <c r="G54" s="56">
        <v>13742739.219560001</v>
      </c>
      <c r="H54" s="49">
        <v>15249554.231647182</v>
      </c>
      <c r="I54" s="40">
        <v>16378545.239520002</v>
      </c>
      <c r="J54" s="40">
        <v>19480381.022270001</v>
      </c>
      <c r="K54" s="37"/>
      <c r="L54" s="36"/>
      <c r="M54" s="35"/>
    </row>
    <row r="55" spans="1:13" x14ac:dyDescent="0.2">
      <c r="A55" s="66"/>
      <c r="B55" s="51"/>
      <c r="C55" s="51"/>
      <c r="D55" s="51"/>
      <c r="E55" s="51"/>
      <c r="F55" s="51"/>
      <c r="G55" s="51"/>
      <c r="H55" s="39"/>
      <c r="I55" s="39"/>
      <c r="J55" s="39"/>
      <c r="K55" s="37"/>
      <c r="L55" s="36"/>
      <c r="M55" s="34"/>
    </row>
    <row r="56" spans="1:13" x14ac:dyDescent="0.2">
      <c r="A56" s="66"/>
      <c r="B56" s="51"/>
      <c r="C56" s="51"/>
      <c r="D56" s="51"/>
      <c r="E56" s="51"/>
      <c r="F56" s="28"/>
      <c r="G56" s="28"/>
      <c r="H56" s="39"/>
      <c r="I56" s="39"/>
      <c r="J56" s="39"/>
      <c r="K56" s="37"/>
      <c r="L56" s="36"/>
      <c r="M56" s="34"/>
    </row>
    <row r="57" spans="1:13" x14ac:dyDescent="0.2">
      <c r="A57" s="69" t="s">
        <v>49</v>
      </c>
      <c r="B57" s="51"/>
      <c r="C57" s="51"/>
      <c r="D57" s="81"/>
      <c r="E57" s="81">
        <v>2334949.355</v>
      </c>
      <c r="F57" s="38">
        <v>3220377</v>
      </c>
      <c r="G57" s="38">
        <v>2782326.8377700006</v>
      </c>
      <c r="H57" s="39">
        <v>3131828.2861550003</v>
      </c>
      <c r="I57" s="39">
        <v>3543699.28473</v>
      </c>
      <c r="J57" s="39">
        <v>4400121.5297799995</v>
      </c>
      <c r="K57" s="37"/>
      <c r="L57" s="36"/>
      <c r="M57" s="34"/>
    </row>
    <row r="58" spans="1:13" x14ac:dyDescent="0.2">
      <c r="A58" s="69" t="s">
        <v>48</v>
      </c>
      <c r="B58" s="51"/>
      <c r="C58" s="51"/>
      <c r="D58" s="81"/>
      <c r="E58" s="81">
        <v>4466724.5410000002</v>
      </c>
      <c r="F58" s="38">
        <v>5396033</v>
      </c>
      <c r="G58" s="38">
        <v>5561633.3852999993</v>
      </c>
      <c r="H58" s="39">
        <v>6215851.8098399993</v>
      </c>
      <c r="I58" s="39">
        <v>6969626.9367700005</v>
      </c>
      <c r="J58" s="39">
        <v>8375212.8421800006</v>
      </c>
      <c r="K58" s="37"/>
      <c r="L58" s="36"/>
      <c r="M58" s="34"/>
    </row>
    <row r="59" spans="1:13" x14ac:dyDescent="0.2">
      <c r="A59" s="69" t="s">
        <v>47</v>
      </c>
      <c r="B59" s="51"/>
      <c r="C59" s="51"/>
      <c r="D59" s="81"/>
      <c r="E59" s="81">
        <v>-2131775.1860000002</v>
      </c>
      <c r="F59" s="38">
        <v>-2175656</v>
      </c>
      <c r="G59" s="38">
        <v>-2779306.5475299992</v>
      </c>
      <c r="H59" s="32">
        <v>-3084023.523684999</v>
      </c>
      <c r="I59" s="38">
        <v>-3425927.6520400005</v>
      </c>
      <c r="J59" s="38">
        <v>-3975091.3124000011</v>
      </c>
      <c r="K59" s="37"/>
      <c r="L59" s="36"/>
      <c r="M59" s="34"/>
    </row>
    <row r="60" spans="1:13" x14ac:dyDescent="0.2">
      <c r="A60" s="52"/>
      <c r="B60" s="51"/>
      <c r="C60" s="51"/>
      <c r="D60" s="81"/>
      <c r="E60" s="81"/>
      <c r="F60" s="38"/>
      <c r="G60" s="38"/>
      <c r="H60" s="39"/>
      <c r="I60" s="39"/>
      <c r="J60" s="39"/>
      <c r="K60" s="34"/>
      <c r="L60" s="34"/>
      <c r="M60" s="34"/>
    </row>
    <row r="61" spans="1:13" x14ac:dyDescent="0.2">
      <c r="A61" s="35"/>
      <c r="B61" s="34"/>
      <c r="C61" s="34"/>
      <c r="D61" s="34"/>
      <c r="E61" s="34"/>
      <c r="F61" s="34"/>
      <c r="G61" s="34"/>
      <c r="H61" s="27"/>
      <c r="I61" s="27"/>
      <c r="J61" s="27"/>
      <c r="K61" s="34"/>
      <c r="L61" s="34"/>
      <c r="M61" s="34"/>
    </row>
    <row r="62" spans="1:13" x14ac:dyDescent="0.2">
      <c r="A62" s="35"/>
      <c r="B62" s="34"/>
      <c r="C62" s="34"/>
      <c r="D62" s="34"/>
      <c r="E62" s="34"/>
      <c r="F62" s="34"/>
      <c r="G62" s="34"/>
      <c r="H62" s="27"/>
      <c r="I62" s="27"/>
      <c r="J62" s="27"/>
      <c r="K62" s="34"/>
      <c r="L62" s="34"/>
      <c r="M62" s="34"/>
    </row>
  </sheetData>
  <sheetProtection password="AF75" sheet="1"/>
  <mergeCells count="1">
    <mergeCell ref="E7:F7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sqref="A1:E14"/>
    </sheetView>
  </sheetViews>
  <sheetFormatPr defaultRowHeight="12.75" x14ac:dyDescent="0.2"/>
  <cols>
    <col min="1" max="1" width="36.28515625" style="57" customWidth="1"/>
    <col min="2" max="2" width="15.28515625" style="57" customWidth="1"/>
    <col min="3" max="3" width="13" style="57" customWidth="1"/>
    <col min="4" max="4" width="18" style="22" customWidth="1"/>
    <col min="5" max="5" width="18.140625" style="22" customWidth="1"/>
    <col min="6" max="16384" width="9.140625" style="22"/>
  </cols>
  <sheetData>
    <row r="1" spans="1:5" ht="12.75" customHeight="1" x14ac:dyDescent="0.2">
      <c r="A1" s="132" t="s">
        <v>96</v>
      </c>
      <c r="B1" s="132"/>
      <c r="C1" s="132"/>
      <c r="D1" s="132"/>
      <c r="E1" s="132"/>
    </row>
    <row r="2" spans="1:5" x14ac:dyDescent="0.2">
      <c r="A2" s="132"/>
      <c r="B2" s="132"/>
      <c r="C2" s="132"/>
      <c r="D2" s="132"/>
      <c r="E2" s="132"/>
    </row>
    <row r="3" spans="1:5" ht="51" x14ac:dyDescent="0.2">
      <c r="A3" s="108" t="s">
        <v>97</v>
      </c>
      <c r="B3" s="109" t="s">
        <v>98</v>
      </c>
      <c r="C3" s="110" t="s">
        <v>108</v>
      </c>
      <c r="D3" s="110" t="s">
        <v>99</v>
      </c>
      <c r="E3" s="110" t="s">
        <v>109</v>
      </c>
    </row>
    <row r="4" spans="1:5" x14ac:dyDescent="0.2">
      <c r="A4" s="111" t="s">
        <v>100</v>
      </c>
      <c r="B4" s="112"/>
      <c r="C4" s="113"/>
      <c r="D4" s="114"/>
      <c r="E4" s="114"/>
    </row>
    <row r="5" spans="1:5" x14ac:dyDescent="0.2">
      <c r="A5" s="111"/>
      <c r="B5" s="112"/>
      <c r="C5" s="113"/>
      <c r="D5" s="114"/>
      <c r="E5" s="114"/>
    </row>
    <row r="6" spans="1:5" x14ac:dyDescent="0.2">
      <c r="A6" s="111" t="s">
        <v>101</v>
      </c>
      <c r="B6" s="112">
        <v>556405096</v>
      </c>
      <c r="C6" s="113">
        <v>51.45</v>
      </c>
      <c r="D6" s="115">
        <f>B6*C6</f>
        <v>28627042189.200001</v>
      </c>
      <c r="E6" s="116">
        <v>27659108091</v>
      </c>
    </row>
    <row r="7" spans="1:5" x14ac:dyDescent="0.2">
      <c r="A7" s="111" t="s">
        <v>102</v>
      </c>
      <c r="B7" s="112">
        <v>0</v>
      </c>
      <c r="C7" s="113"/>
      <c r="D7" s="114"/>
      <c r="E7" s="114"/>
    </row>
    <row r="8" spans="1:5" x14ac:dyDescent="0.2">
      <c r="A8" s="111" t="s">
        <v>103</v>
      </c>
      <c r="B8" s="112">
        <f>B6</f>
        <v>556405096</v>
      </c>
      <c r="C8" s="113"/>
      <c r="D8" s="114"/>
      <c r="E8" s="114"/>
    </row>
    <row r="9" spans="1:5" x14ac:dyDescent="0.2">
      <c r="A9" s="111"/>
      <c r="B9" s="112"/>
      <c r="C9" s="113"/>
      <c r="D9" s="114"/>
      <c r="E9" s="114"/>
    </row>
    <row r="10" spans="1:5" x14ac:dyDescent="0.2">
      <c r="A10" s="111" t="s">
        <v>104</v>
      </c>
      <c r="B10" s="112"/>
      <c r="C10" s="113"/>
      <c r="D10" s="114"/>
      <c r="E10" s="114"/>
    </row>
    <row r="11" spans="1:5" x14ac:dyDescent="0.2">
      <c r="A11" s="111" t="s">
        <v>101</v>
      </c>
      <c r="B11" s="112">
        <v>7148156</v>
      </c>
      <c r="C11" s="113">
        <v>51.45</v>
      </c>
      <c r="D11" s="115">
        <f>B11*C11</f>
        <v>367772626.20000005</v>
      </c>
      <c r="E11" s="114"/>
    </row>
    <row r="12" spans="1:5" x14ac:dyDescent="0.2">
      <c r="A12" s="111" t="s">
        <v>105</v>
      </c>
      <c r="B12" s="112">
        <v>0</v>
      </c>
      <c r="C12" s="113"/>
      <c r="D12" s="114"/>
      <c r="E12" s="114"/>
    </row>
    <row r="13" spans="1:5" x14ac:dyDescent="0.2">
      <c r="A13" s="111"/>
      <c r="B13" s="112"/>
      <c r="C13" s="113"/>
      <c r="D13" s="114"/>
      <c r="E13" s="114"/>
    </row>
    <row r="14" spans="1:5" x14ac:dyDescent="0.2">
      <c r="A14" s="111" t="s">
        <v>103</v>
      </c>
      <c r="B14" s="112">
        <f>B11</f>
        <v>7148156</v>
      </c>
      <c r="C14" s="113"/>
      <c r="D14" s="115">
        <f>D6+D11</f>
        <v>28994814815.400002</v>
      </c>
      <c r="E14" s="115">
        <f>E6</f>
        <v>27659108091</v>
      </c>
    </row>
    <row r="15" spans="1:5" x14ac:dyDescent="0.2">
      <c r="B15" s="58"/>
      <c r="C15" s="58"/>
    </row>
    <row r="16" spans="1:5" x14ac:dyDescent="0.2">
      <c r="B16" s="58"/>
      <c r="C16" s="58"/>
    </row>
    <row r="17" spans="2:3" x14ac:dyDescent="0.2">
      <c r="B17" s="58"/>
      <c r="C17" s="58"/>
    </row>
    <row r="18" spans="2:3" x14ac:dyDescent="0.2">
      <c r="B18" s="58"/>
      <c r="C18" s="58"/>
    </row>
  </sheetData>
  <sheetProtection password="AF75" sheet="1"/>
  <mergeCells count="1">
    <mergeCell ref="A1:E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GridLines="0" workbookViewId="0">
      <selection activeCell="F6" sqref="F6"/>
    </sheetView>
  </sheetViews>
  <sheetFormatPr defaultRowHeight="12.75" x14ac:dyDescent="0.2"/>
  <cols>
    <col min="1" max="1" width="2.85546875" style="128" customWidth="1"/>
    <col min="5" max="5" width="11.5703125" customWidth="1"/>
    <col min="6" max="6" width="13.140625" customWidth="1"/>
    <col min="7" max="7" width="15" customWidth="1"/>
    <col min="8" max="8" width="12" customWidth="1"/>
    <col min="9" max="9" width="12.28515625" customWidth="1"/>
    <col min="10" max="10" width="12.140625" customWidth="1"/>
    <col min="11" max="11" width="17.5703125" style="117" customWidth="1"/>
  </cols>
  <sheetData>
    <row r="1" spans="1:11" ht="18.75" x14ac:dyDescent="0.3">
      <c r="A1" s="133" t="s">
        <v>110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</row>
    <row r="2" spans="1:11" ht="15.75" x14ac:dyDescent="0.25">
      <c r="A2" s="129"/>
      <c r="B2" s="119" t="s">
        <v>38</v>
      </c>
      <c r="C2" s="119"/>
      <c r="D2" s="119"/>
      <c r="E2" s="119"/>
      <c r="F2" s="120" t="s">
        <v>87</v>
      </c>
      <c r="G2" s="120" t="s">
        <v>88</v>
      </c>
      <c r="H2" s="120" t="s">
        <v>89</v>
      </c>
      <c r="I2" s="120" t="s">
        <v>90</v>
      </c>
      <c r="J2" s="120" t="s">
        <v>91</v>
      </c>
      <c r="K2" s="120" t="s">
        <v>92</v>
      </c>
    </row>
    <row r="3" spans="1:11" ht="15.75" x14ac:dyDescent="0.25">
      <c r="A3" s="129">
        <v>1</v>
      </c>
      <c r="B3" s="121" t="s">
        <v>82</v>
      </c>
      <c r="C3" s="122"/>
      <c r="D3" s="122"/>
      <c r="E3" s="122"/>
      <c r="F3" s="123">
        <v>788300.53192859003</v>
      </c>
      <c r="G3" s="123">
        <v>1041326.4593313417</v>
      </c>
      <c r="H3" s="123">
        <v>1283821.4334622198</v>
      </c>
      <c r="I3" s="123">
        <v>1523867.0475826729</v>
      </c>
      <c r="J3" s="123">
        <v>1835454.0863555337</v>
      </c>
      <c r="K3" s="126">
        <v>2126369.9747909689</v>
      </c>
    </row>
    <row r="4" spans="1:11" ht="15.75" x14ac:dyDescent="0.25">
      <c r="A4" s="129">
        <v>2</v>
      </c>
      <c r="B4" s="122" t="s">
        <v>85</v>
      </c>
      <c r="C4" s="122"/>
      <c r="D4" s="122"/>
      <c r="E4" s="122"/>
      <c r="F4" s="123"/>
      <c r="G4" s="123"/>
      <c r="H4" s="123"/>
      <c r="I4" s="123"/>
      <c r="J4" s="123"/>
      <c r="K4" s="126">
        <v>8599139.5334513262</v>
      </c>
    </row>
    <row r="5" spans="1:11" ht="15.75" x14ac:dyDescent="0.25">
      <c r="A5" s="129">
        <v>3</v>
      </c>
      <c r="B5" s="122" t="s">
        <v>83</v>
      </c>
      <c r="C5" s="122"/>
      <c r="D5" s="122"/>
      <c r="E5" s="122"/>
      <c r="F5" s="123"/>
      <c r="G5" s="123"/>
      <c r="H5" s="123"/>
      <c r="I5" s="123"/>
      <c r="J5" s="123"/>
      <c r="K5" s="126">
        <v>27498511</v>
      </c>
    </row>
    <row r="6" spans="1:11" ht="15.75" x14ac:dyDescent="0.25">
      <c r="A6" s="129">
        <v>4</v>
      </c>
      <c r="B6" s="122" t="s">
        <v>106</v>
      </c>
      <c r="C6" s="122"/>
      <c r="D6" s="122"/>
      <c r="E6" s="122"/>
      <c r="F6" s="123"/>
      <c r="G6" s="123"/>
      <c r="H6" s="123"/>
      <c r="I6" s="123"/>
      <c r="J6" s="123"/>
      <c r="K6" s="126">
        <v>-8438542</v>
      </c>
    </row>
    <row r="7" spans="1:11" ht="15.75" x14ac:dyDescent="0.25">
      <c r="A7" s="129">
        <v>5</v>
      </c>
      <c r="B7" s="122" t="s">
        <v>111</v>
      </c>
      <c r="C7" s="122"/>
      <c r="D7" s="122"/>
      <c r="E7" s="122"/>
      <c r="F7" s="123"/>
      <c r="G7" s="123"/>
      <c r="H7" s="123"/>
      <c r="I7" s="123"/>
      <c r="J7" s="123"/>
      <c r="K7" s="127">
        <v>27659109</v>
      </c>
    </row>
    <row r="8" spans="1:11" ht="15.75" x14ac:dyDescent="0.25">
      <c r="B8" s="122"/>
      <c r="C8" s="124"/>
      <c r="D8" s="124"/>
      <c r="E8" s="124"/>
      <c r="F8" s="124"/>
      <c r="G8" s="124"/>
      <c r="H8" s="124"/>
      <c r="I8" s="124"/>
      <c r="J8" s="124"/>
      <c r="K8" s="125"/>
    </row>
    <row r="22" spans="7:7" x14ac:dyDescent="0.2">
      <c r="G22" s="118" t="s">
        <v>107</v>
      </c>
    </row>
  </sheetData>
  <sheetProtection password="AF75" sheet="1"/>
  <mergeCells count="1">
    <mergeCell ref="A1:K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PROJEÇÃO DRE</vt:lpstr>
      <vt:lpstr>CAPEX</vt:lpstr>
      <vt:lpstr>BPC_ULTRAPAR</vt:lpstr>
      <vt:lpstr>COMPOSIÇÃO DO CAPITAL</vt:lpstr>
      <vt:lpstr>RESULTADO DA AVALIAÇÃO</vt:lpstr>
    </vt:vector>
  </TitlesOfParts>
  <Company>Grupo Ultra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fagen</cp:lastModifiedBy>
  <cp:lastPrinted>2015-02-19T13:18:57Z</cp:lastPrinted>
  <dcterms:created xsi:type="dcterms:W3CDTF">2002-11-08T13:45:26Z</dcterms:created>
  <dcterms:modified xsi:type="dcterms:W3CDTF">2017-04-29T13:13:34Z</dcterms:modified>
</cp:coreProperties>
</file>